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2f+/R+rik47n0XG53H8SAqiJQIOxnADRQje/VA3T3BHv7qhrIMZiAlQr4rQubxDgGJ8dd6xY8IuOiYA39rpQhA==" workbookSaltValue="vDB+fLmdXYxYO5g5JrAt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ES20" i="8"/>
  <c r="C19" i="7"/>
  <c r="AC20" i="13"/>
  <c r="R20" i="8"/>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W21" i="20"/>
  <c r="U10" i="11"/>
  <c r="G19" i="14"/>
  <c r="AM21" i="27"/>
  <c r="AY21" i="20"/>
  <c r="AW21" i="20"/>
  <c r="F21" i="27"/>
  <c r="AJ21" i="20"/>
  <c r="AA21" i="27"/>
  <c r="S21" i="20"/>
  <c r="X21" i="27"/>
  <c r="O21" i="27"/>
  <c r="H21" i="27"/>
  <c r="W21" i="27"/>
  <c r="N21" i="20"/>
  <c r="P21" i="27"/>
  <c r="Y21" i="20"/>
  <c r="R21" i="20"/>
  <c r="L21" i="20"/>
  <c r="L21" i="27"/>
  <c r="AJ21" i="27"/>
  <c r="O17" i="11"/>
  <c r="F21" i="20"/>
  <c r="T21" i="21"/>
  <c r="U17" i="11"/>
  <c r="K21" i="27"/>
  <c r="E21" i="27"/>
  <c r="AU21" i="27"/>
  <c r="T21" i="20"/>
  <c r="AW21" i="27"/>
  <c r="AG21" i="20"/>
  <c r="AA21" i="20"/>
  <c r="AE21" i="27"/>
  <c r="AV21" i="27"/>
  <c r="AL21" i="27"/>
  <c r="M21" i="20"/>
  <c r="AH21" i="27"/>
  <c r="AD21" i="20"/>
  <c r="AQ21" i="27"/>
  <c r="AU21" i="20"/>
  <c r="U12" i="11"/>
  <c r="AK21" i="20"/>
  <c r="M21" i="27"/>
  <c r="R21" i="27"/>
  <c r="I21" i="20"/>
  <c r="AC21" i="27"/>
  <c r="AK21" i="27"/>
  <c r="J21" i="27"/>
  <c r="AE20" i="8"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C18" i="6"/>
  <c r="I18" i="12" s="1"/>
  <c r="L18" i="14"/>
  <c r="W13" i="17"/>
  <c r="C15" i="6"/>
  <c r="AF13" i="21"/>
  <c r="AF20" i="21" s="1"/>
  <c r="E18" i="6"/>
  <c r="B18" i="6"/>
  <c r="AL18" i="11"/>
  <c r="F9" i="12"/>
  <c r="Y9" i="11"/>
  <c r="U13" i="16"/>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AM21" i="26"/>
  <c r="K21" i="26"/>
  <c r="AJ21" i="26"/>
  <c r="BH21" i="26"/>
  <c r="AI21" i="26"/>
  <c r="AP21" i="26"/>
  <c r="BN21" i="26"/>
  <c r="H21" i="26"/>
  <c r="AR21" i="26"/>
  <c r="AQ21" i="26"/>
  <c r="AL21" i="26"/>
  <c r="I21" i="26"/>
  <c r="BO21" i="26"/>
  <c r="AN21" i="26"/>
  <c r="AB21" i="26"/>
  <c r="BM21" i="26"/>
  <c r="AK21" i="26"/>
  <c r="O21" i="26"/>
  <c r="U21" i="27"/>
  <c r="BS21" i="26"/>
  <c r="AD21" i="26"/>
  <c r="AZ21" i="26"/>
  <c r="BF21" i="26"/>
  <c r="T21" i="26"/>
  <c r="AC21" i="26"/>
  <c r="S21" i="26"/>
  <c r="L21" i="26"/>
  <c r="BP21" i="26"/>
  <c r="AY21" i="26"/>
  <c r="BC21" i="26"/>
  <c r="BE21" i="26"/>
  <c r="AF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K18" i="12" l="1"/>
  <c r="G20" i="7"/>
  <c r="BM20" i="26"/>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D21" i="12"/>
  <c r="Q21" i="17"/>
  <c r="DC16" i="16" l="1"/>
  <c r="DD18" i="16"/>
  <c r="DC17" i="16"/>
  <c r="DC12" i="16"/>
  <c r="DD17" i="16"/>
  <c r="DD12" i="16"/>
  <c r="DD10" i="16"/>
  <c r="DC9" i="16"/>
  <c r="DD16" i="16"/>
  <c r="DC18" i="16"/>
  <c r="DC15" i="16"/>
  <c r="DC11" i="16"/>
  <c r="DD15" i="16"/>
  <c r="DD11" i="16"/>
  <c r="DC10" i="16"/>
  <c r="DD9" i="16"/>
  <c r="AQ21" i="17"/>
  <c r="CB17" i="16"/>
  <c r="CB10" i="16"/>
  <c r="CB11" i="16"/>
  <c r="CC18" i="16"/>
  <c r="CB18" i="16"/>
  <c r="CC10" i="16"/>
  <c r="CB12" i="16"/>
  <c r="CC16" i="16"/>
  <c r="CB16" i="16"/>
  <c r="CC12" i="16"/>
  <c r="CC9" i="16"/>
  <c r="CC17" i="16"/>
  <c r="CB15" i="16"/>
  <c r="CC15" i="16"/>
  <c r="CB9" i="16"/>
  <c r="CC11"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L16" i="16"/>
  <c r="CL18" i="16"/>
  <c r="CL12" i="16"/>
  <c r="CK10" i="16"/>
  <c r="CK9" i="16"/>
  <c r="CL17" i="16"/>
  <c r="CL15" i="16"/>
  <c r="CL11" i="16"/>
  <c r="CK16" i="16"/>
  <c r="CK15" i="16"/>
  <c r="CL10" i="16"/>
  <c r="CK11" i="16"/>
  <c r="CK18" i="16"/>
  <c r="CK17" i="16"/>
  <c r="CK12" i="16"/>
  <c r="CL9" i="16"/>
  <c r="CZ16" i="16"/>
  <c r="CZ18" i="16"/>
  <c r="CZ15" i="16"/>
  <c r="CZ9" i="16"/>
  <c r="CY17" i="16"/>
  <c r="CY18" i="16"/>
  <c r="CZ12" i="16"/>
  <c r="CY11" i="16"/>
  <c r="CY16" i="16"/>
  <c r="CZ17" i="16"/>
  <c r="CZ11" i="16"/>
  <c r="CY15" i="16"/>
  <c r="CZ10" i="16"/>
  <c r="CY9" i="16"/>
  <c r="CY12" i="16"/>
  <c r="CY10"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DH16" i="16"/>
  <c r="DG10" i="16"/>
  <c r="DH18" i="16"/>
  <c r="DH12" i="16"/>
  <c r="DH9" i="16"/>
  <c r="DH17" i="16"/>
  <c r="DG18" i="16"/>
  <c r="DG11" i="16"/>
  <c r="DG16" i="16"/>
  <c r="DG17" i="16"/>
  <c r="DG12" i="16"/>
  <c r="DH11" i="16"/>
  <c r="DH10" i="16"/>
  <c r="DH15" i="16"/>
  <c r="DG9" i="16"/>
  <c r="DG15" i="16"/>
  <c r="AT21" i="21"/>
  <c r="CO16" i="16"/>
  <c r="CN18" i="16"/>
  <c r="CO12" i="16"/>
  <c r="CN11" i="16"/>
  <c r="CN9" i="16"/>
  <c r="CO18" i="16"/>
  <c r="CO11" i="16"/>
  <c r="CO9" i="16"/>
  <c r="CN16" i="16"/>
  <c r="CN17" i="16"/>
  <c r="CO15" i="16"/>
  <c r="CN12" i="16"/>
  <c r="CO10" i="16"/>
  <c r="CN15" i="16"/>
  <c r="CO17" i="16"/>
  <c r="CN10" i="16"/>
  <c r="AQ21" i="11"/>
  <c r="CF16" i="16"/>
  <c r="CE9" i="16"/>
  <c r="CF9" i="16"/>
  <c r="CF17" i="16"/>
  <c r="CE18" i="16"/>
  <c r="CF12" i="16"/>
  <c r="CF15" i="16"/>
  <c r="CE12" i="16"/>
  <c r="CE16" i="16"/>
  <c r="CE17" i="16"/>
  <c r="CF11" i="16"/>
  <c r="CE11" i="16"/>
  <c r="CF10" i="16"/>
  <c r="CE15" i="16"/>
  <c r="CE10" i="16"/>
  <c r="CF18"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<sst xmlns="http://schemas.openxmlformats.org/spreadsheetml/2006/main" count="2499" uniqueCount="1026">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</sst>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dGvxO+Ri2NXjR/DPghSOwUkyAeT0yHcUzMRJ75K1T3b6jdkSak3uXkkzshsXI1N6E4dgeNzVP+6/E2Fv6KJMg==" saltValue="GFLiAxlLu28lOVV/Wk6r8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7</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29.513285401688027</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0</v>
      </c>
      <c r="F10" s="225">
        <f>IF(ISNUMBER(Datos!K10),Datos!K10," - ")</f>
        <v>0</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33</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2148</v>
      </c>
      <c r="D15" s="224">
        <f>IF(ISNUMBER(IF(D_I="SI",Datos!I15,Datos!I15+Datos!AC15)),IF(D_I="SI",Datos!I15,Datos!I15+Datos!AC15)," - ")</f>
        <v>2105</v>
      </c>
      <c r="E15" s="225">
        <f>IF(ISNUMBER(IF(D_I="SI",Datos!J15,Datos!J15+Datos!AD15)),IF(D_I="SI",Datos!J15,Datos!J15+Datos!AD15)," - ")</f>
        <v>3392</v>
      </c>
      <c r="F15" s="225">
        <f>IF(ISNUMBER(IF(D_I="SI",Datos!K15,Datos!K15+Datos!AE15)),IF(D_I="SI",Datos!K15,Datos!K15+Datos!AE15)," - ")</f>
        <v>3427</v>
      </c>
      <c r="G15" s="1029" t="str">
        <f>IF(Datos!E15&lt;&gt;"",Datos!E15,Datos!D15)</f>
        <v>03</v>
      </c>
      <c r="H15" s="226">
        <f>IF(ISNUMBER(IF(D_I="SI",Datos!L15,Datos!L15+Datos!AF15)),IF(D_I="SI",Datos!L15,Datos!L15+Datos!AF15)," - ")</f>
        <v>2113</v>
      </c>
      <c r="I15" s="1039" t="str">
        <f>IF(ISNUMBER(Datos!AS15/Datos!BM15),Datos!AS15/Datos!BM15," - ")</f>
        <v xml:space="preserve"> - </v>
      </c>
      <c r="J15" s="1040">
        <f>IF(ISNUMBER(Datos!BY15/Datos!CN15),Datos!BY15/Datos!CN15," - ")</f>
        <v>0</v>
      </c>
      <c r="K15" s="229">
        <f t="shared" ref="K15:K18" si="3">IF(ISNUMBER((E15-F15)/C15),(E15-F15)/C15," - ")</f>
        <v>-1.6294227188081937E-2</v>
      </c>
      <c r="L15" s="1020">
        <f>IF(ISNUMBER(NºAsuntos!I15/NºAsuntos!G15),(NºAsuntos!I15/NºAsuntos!G15)*11," - ")</f>
        <v>6.7823168952436532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f t="shared" si="2"/>
        <v>9</v>
      </c>
      <c r="D17" s="224">
        <f>IF(ISNUMBER(IF(D_I="SI",Datos!I17,Datos!I17+Datos!AC17)),IF(D_I="SI",Datos!I17,Datos!I17+Datos!AC17)," - ")</f>
        <v>9</v>
      </c>
      <c r="E17" s="225">
        <f>IF(ISNUMBER(IF(D_I="SI",Datos!J17,Datos!J17+Datos!AD17)),IF(D_I="SI",Datos!J17,Datos!J17+Datos!AD17)," - ")</f>
        <v>0</v>
      </c>
      <c r="F17" s="225">
        <f>IF(ISNUMBER(IF(D_I="SI",Datos!K17,Datos!K17+Datos!AE17)),IF(D_I="SI",Datos!K17,Datos!K17+Datos!AE17)," - ")</f>
        <v>0</v>
      </c>
      <c r="G17" s="1029" t="str">
        <f>IF(Datos!E17&lt;&gt;"",Datos!E17,Datos!D17)</f>
        <v>04</v>
      </c>
      <c r="H17" s="226">
        <f>IF(ISNUMBER(IF(D_I="SI",Datos!L17,Datos!L17+Datos!AF17)),IF(D_I="SI",Datos!L17,Datos!L17+Datos!AF17)," - ")</f>
        <v>9</v>
      </c>
      <c r="I17" s="1039" t="str">
        <f>IF(ISNUMBER(Datos!AS17/Datos!BM17),Datos!AS17/Datos!BM17," - ")</f>
        <v xml:space="preserve"> - </v>
      </c>
      <c r="J17" s="1040">
        <f>IF(ISNUMBER(Datos!BY17/Datos!CN17),Datos!BY17/Datos!CN17," - ")</f>
        <v>0</v>
      </c>
      <c r="K17" s="229">
        <f t="shared" si="3"/>
        <v>0</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v>
      </c>
      <c r="D18" s="224">
        <f>IF(ISNUMBER(IF(D_I="SI",Datos!I18,Datos!I18+Datos!AC18)),IF(D_I="SI",Datos!I18,Datos!I18+Datos!AC18)," - ")</f>
        <v>1</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1</v>
      </c>
      <c r="I18" s="1039" t="str">
        <f>IF(ISNUMBER(Datos!AS18/Datos!BM18),Datos!AS18/Datos!BM18," - ")</f>
        <v xml:space="preserve"> - </v>
      </c>
      <c r="J18" s="1040" t="str">
        <f>IF(ISNUMBER((Datos!BY18+Datos!BZ18)/Datos!CN18),(Datos!BY18+Datos!BZ18)/Datos!CN18," - ")</f>
        <v xml:space="preserve"> - </v>
      </c>
      <c r="K18" s="229">
        <f t="shared" si="3"/>
        <v>0</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2158</v>
      </c>
      <c r="D19" s="1044">
        <f>SUBTOTAL(9,D15:D18)</f>
        <v>2115</v>
      </c>
      <c r="E19" s="1045">
        <f>SUBTOTAL(9,E15:E18)</f>
        <v>3392</v>
      </c>
      <c r="F19" s="1045">
        <f>SUBTOTAL(9,F15:F18)</f>
        <v>3427</v>
      </c>
      <c r="G19" s="1047" t="str">
        <f ca="1">INDIRECT(CONCATENATE("G",ROW()-1))</f>
        <v>37</v>
      </c>
      <c r="H19" s="1048">
        <f ca="1">SUMIF(G$14:G18,G19,H$14:H18)</f>
        <v>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2160</v>
      </c>
      <c r="D20" s="1066">
        <f>SUBTOTAL(9,D9:D19)</f>
        <v>2117</v>
      </c>
      <c r="E20" s="1067">
        <f>SUBTOTAL(9,E9:E19)</f>
        <v>3392</v>
      </c>
      <c r="F20" s="1067">
        <f>SUBTOTAL(9,F9:F19)</f>
        <v>3427</v>
      </c>
      <c r="G20" s="1068"/>
      <c r="H20" s="1069">
        <f ca="1">SUMIF(B9:B19,"TOTAL",H9:H19)</f>
        <v>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qxecBIafXr2imcnuSCK63hq+HWcQ41zYlMBtX/aIr4KBdH1UK2cMtMS+e18llPOB1FvH4xRRYyAH1GnjuH35Q==" saltValue="WPZ/Q6LbtVc3uRoZyRkcO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jHMPnnEQ8oLR2JrKSkunfEWZOtFuJDYEqiiMkBYuBmE39uP5w5055uNe6IpmJ0/3oK4Fap+DlHEpJjy3UiocQ==" saltValue="tKMjupDDbN50MtcGFiSC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8461</v>
      </c>
      <c r="J9" s="180">
        <v>3093</v>
      </c>
      <c r="K9" s="180">
        <v>3085</v>
      </c>
      <c r="L9" s="180">
        <v>8426</v>
      </c>
      <c r="M9" s="180">
        <v>1495</v>
      </c>
      <c r="N9" s="180">
        <v>986</v>
      </c>
      <c r="O9" s="180">
        <v>588</v>
      </c>
      <c r="P9" s="180">
        <v>782</v>
      </c>
      <c r="Q9" s="180">
        <v>233</v>
      </c>
      <c r="R9" s="180">
        <v>14867</v>
      </c>
      <c r="S9" s="180">
        <v>8440</v>
      </c>
      <c r="T9" s="180">
        <v>6232</v>
      </c>
      <c r="U9" s="180">
        <v>4146</v>
      </c>
      <c r="V9" s="180">
        <v>10526</v>
      </c>
      <c r="W9" s="180">
        <v>1499</v>
      </c>
      <c r="X9" s="187">
        <v>1705</v>
      </c>
      <c r="Y9" s="190">
        <v>134</v>
      </c>
      <c r="Z9" s="180">
        <v>137</v>
      </c>
      <c r="AA9" s="180">
        <v>114</v>
      </c>
      <c r="AB9" s="180">
        <v>157</v>
      </c>
      <c r="AC9" s="180">
        <v>0</v>
      </c>
      <c r="AD9" s="180">
        <v>0</v>
      </c>
      <c r="AE9" s="180">
        <v>0</v>
      </c>
      <c r="AF9" s="187">
        <v>0</v>
      </c>
      <c r="AG9" s="190">
        <v>113</v>
      </c>
      <c r="AH9" s="180">
        <v>85</v>
      </c>
      <c r="AI9" s="180">
        <v>99</v>
      </c>
      <c r="AJ9" s="191">
        <v>99</v>
      </c>
      <c r="AK9" s="179">
        <v>0</v>
      </c>
      <c r="AL9" s="180">
        <v>0</v>
      </c>
      <c r="AM9" s="180">
        <v>0</v>
      </c>
      <c r="AN9" s="187">
        <v>0</v>
      </c>
      <c r="AO9" s="257">
        <v>7</v>
      </c>
      <c r="AP9" s="153">
        <v>7</v>
      </c>
      <c r="AQ9" s="153">
        <v>7</v>
      </c>
      <c r="AR9" s="192">
        <v>7</v>
      </c>
      <c r="AS9" s="337" t="s">
        <v>763</v>
      </c>
      <c r="AT9" s="194"/>
      <c r="AU9" s="193"/>
      <c r="AV9" s="194"/>
      <c r="AW9" s="193"/>
      <c r="AX9" s="194"/>
      <c r="AY9" s="123">
        <f>IF(ISNUMBER(IF(J_V="SI",S9,S9+AG9)),IF(J_V="SI",S9,S9+AG9)," - ")</f>
        <v>8553</v>
      </c>
      <c r="AZ9" s="123">
        <f>IF(ISNUMBER(IF(J_V="SI",T9,T9+AH9)),IF(J_V="SI",T9,T9+AH9)," - ")</f>
        <v>6317</v>
      </c>
      <c r="BA9" s="124">
        <f>IF(ISNUMBER(IF(J_V="SI",U9,U9+AI9)),IF(J_V="SI",U9,U9+AI9)," - ")</f>
        <v>4245</v>
      </c>
      <c r="BB9" s="124">
        <f>IF(ISNUMBER(IF(J_V="SI",V9,V9+AJ9)),IF(J_V="SI",V9,V9+AJ9)," - ")</f>
        <v>10625</v>
      </c>
      <c r="BC9" s="125">
        <f>IF(ISNUMBER(X9),X9," - ")</f>
        <v>1705</v>
      </c>
      <c r="BD9" s="126">
        <f>IF(ISNUMBER(BA9/AZ9),BA9/AZ9," - ")</f>
        <v>0.67199620072819377</v>
      </c>
      <c r="BE9" s="127">
        <f>IF(ISNUMBER(BB9/BA9),BB9/BA9, " - ")</f>
        <v>2.5029446407538281</v>
      </c>
      <c r="BF9" s="127">
        <f>IF(ISNUMBER(BC9/BA9),BC9/BA9, " - ")</f>
        <v>0.40164899882214372</v>
      </c>
      <c r="BG9" s="195">
        <f>IF(ISNUMBER((AY9+AZ9)/BA9),(AY9+AZ9)/BA9," - ")</f>
        <v>3.5029446407538281</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0</v>
      </c>
      <c r="K10" s="180">
        <v>0</v>
      </c>
      <c r="L10" s="180">
        <v>2</v>
      </c>
      <c r="M10" s="180">
        <v>0</v>
      </c>
      <c r="N10" s="180">
        <v>0</v>
      </c>
      <c r="O10" s="180">
        <v>0</v>
      </c>
      <c r="P10" s="180">
        <v>0</v>
      </c>
      <c r="Q10" s="180">
        <v>0</v>
      </c>
      <c r="R10" s="180">
        <v>66</v>
      </c>
      <c r="S10" s="180">
        <v>11</v>
      </c>
      <c r="T10" s="180">
        <v>2</v>
      </c>
      <c r="U10" s="180">
        <v>3</v>
      </c>
      <c r="V10" s="180">
        <v>10</v>
      </c>
      <c r="W10" s="180">
        <v>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11</v>
      </c>
      <c r="AZ10" s="129">
        <f t="shared" si="0"/>
        <v>2</v>
      </c>
      <c r="BA10" s="129">
        <f t="shared" si="0"/>
        <v>3</v>
      </c>
      <c r="BB10" s="129">
        <f t="shared" si="0"/>
        <v>10</v>
      </c>
      <c r="BC10" s="125">
        <f t="shared" si="0"/>
        <v>0</v>
      </c>
      <c r="BD10" s="126">
        <f>IF(ISNUMBER(BA10/AZ10),BA10/AZ10," - ")</f>
        <v>1.5</v>
      </c>
      <c r="BE10" s="127">
        <f>IF(ISNUMBER(BB10/BA10),BB10/BA10, " - ")</f>
        <v>3.3333333333333335</v>
      </c>
      <c r="BF10" s="127">
        <f>IF(ISNUMBER(BC10/BA10),BC10/BA10, " - ")</f>
        <v>0</v>
      </c>
      <c r="BG10" s="195">
        <f>IF(ISNUMBER((AY10+AZ10)/BA10),(AY10+AZ10)/BA10," - ")</f>
        <v>4.333333333333333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522</v>
      </c>
      <c r="J11" s="182">
        <v>251</v>
      </c>
      <c r="K11" s="182">
        <v>188</v>
      </c>
      <c r="L11" s="182">
        <v>585</v>
      </c>
      <c r="M11" s="182">
        <v>76</v>
      </c>
      <c r="N11" s="182">
        <v>99</v>
      </c>
      <c r="O11" s="180">
        <v>4</v>
      </c>
      <c r="P11" s="182">
        <v>4</v>
      </c>
      <c r="Q11" s="182">
        <v>0</v>
      </c>
      <c r="R11" s="182">
        <v>13</v>
      </c>
      <c r="S11" s="182">
        <v>305</v>
      </c>
      <c r="T11" s="182">
        <v>373</v>
      </c>
      <c r="U11" s="182">
        <v>233</v>
      </c>
      <c r="V11" s="182">
        <v>445</v>
      </c>
      <c r="W11" s="182">
        <v>121</v>
      </c>
      <c r="X11" s="188">
        <v>84</v>
      </c>
      <c r="Y11" s="190">
        <v>84</v>
      </c>
      <c r="Z11" s="180">
        <v>55</v>
      </c>
      <c r="AA11" s="180">
        <v>40</v>
      </c>
      <c r="AB11" s="180">
        <v>99</v>
      </c>
      <c r="AC11" s="182">
        <v>0</v>
      </c>
      <c r="AD11" s="182">
        <v>0</v>
      </c>
      <c r="AE11" s="182">
        <v>0</v>
      </c>
      <c r="AF11" s="188">
        <v>0</v>
      </c>
      <c r="AG11" s="201">
        <v>55</v>
      </c>
      <c r="AH11" s="182">
        <v>58</v>
      </c>
      <c r="AI11" s="182">
        <v>52</v>
      </c>
      <c r="AJ11" s="202">
        <v>61</v>
      </c>
      <c r="AK11" s="181">
        <v>0</v>
      </c>
      <c r="AL11" s="182">
        <v>0</v>
      </c>
      <c r="AM11" s="182">
        <v>0</v>
      </c>
      <c r="AN11" s="188">
        <v>0</v>
      </c>
      <c r="AO11" s="258">
        <v>2</v>
      </c>
      <c r="AP11" s="154">
        <v>2</v>
      </c>
      <c r="AQ11" s="154">
        <v>1</v>
      </c>
      <c r="AR11" s="153">
        <v>1</v>
      </c>
      <c r="AS11" s="339" t="s">
        <v>765</v>
      </c>
      <c r="AT11" s="202"/>
      <c r="AU11" s="201"/>
      <c r="AV11" s="202"/>
      <c r="AW11" s="201"/>
      <c r="AX11" s="202"/>
      <c r="AY11" s="126">
        <f t="shared" ref="AY11:BB12" si="1">IF(ISNUMBER(IF(J_V="SI",S11,S11+AG11)),IF(J_V="SI",S11,S11+AG11)," - ")</f>
        <v>360</v>
      </c>
      <c r="AZ11" s="127">
        <f t="shared" si="1"/>
        <v>431</v>
      </c>
      <c r="BA11" s="127">
        <f t="shared" si="1"/>
        <v>285</v>
      </c>
      <c r="BB11" s="127">
        <f t="shared" si="1"/>
        <v>506</v>
      </c>
      <c r="BC11" s="125">
        <f>IF(ISNUMBER(X11),X11," - ")</f>
        <v>84</v>
      </c>
      <c r="BD11" s="126">
        <f t="shared" ref="BD11:BD12" si="2">IF(ISNUMBER(BA11/AZ11),BA11/AZ11," - ")</f>
        <v>0.66125290023201855</v>
      </c>
      <c r="BE11" s="127">
        <f t="shared" ref="BE11:BE12" si="3">IF(ISNUMBER(BB11/BA11),BB11/BA11, " - ")</f>
        <v>1.775438596491228</v>
      </c>
      <c r="BF11" s="127">
        <f t="shared" ref="BF11:BF12" si="4">IF(ISNUMBER(BC11/BA11),BC11/BA11, " - ")</f>
        <v>0.29473684210526313</v>
      </c>
      <c r="BG11" s="195">
        <f t="shared" ref="BG11:BG12" si="5">IF(ISNUMBER((AY11+AZ11)/BA11),(AY11+AZ11)/BA11," - ")</f>
        <v>2.7754385964912283</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8985</v>
      </c>
      <c r="J13" s="183">
        <f t="shared" si="6"/>
        <v>3344</v>
      </c>
      <c r="K13" s="183">
        <f t="shared" si="6"/>
        <v>3273</v>
      </c>
      <c r="L13" s="183">
        <f t="shared" si="6"/>
        <v>9013</v>
      </c>
      <c r="M13" s="183">
        <f t="shared" si="6"/>
        <v>1571</v>
      </c>
      <c r="N13" s="183">
        <f t="shared" si="6"/>
        <v>1085</v>
      </c>
      <c r="O13" s="183">
        <f t="shared" si="6"/>
        <v>592</v>
      </c>
      <c r="P13" s="183">
        <f t="shared" si="6"/>
        <v>786</v>
      </c>
      <c r="Q13" s="183">
        <f t="shared" si="6"/>
        <v>233</v>
      </c>
      <c r="R13" s="183">
        <f t="shared" si="6"/>
        <v>14946</v>
      </c>
      <c r="S13" s="183">
        <f t="shared" si="6"/>
        <v>8756</v>
      </c>
      <c r="T13" s="183">
        <f t="shared" si="6"/>
        <v>6607</v>
      </c>
      <c r="U13" s="183">
        <f t="shared" si="6"/>
        <v>4382</v>
      </c>
      <c r="V13" s="183">
        <f t="shared" si="6"/>
        <v>10981</v>
      </c>
      <c r="W13" s="183">
        <f t="shared" si="6"/>
        <v>1620</v>
      </c>
      <c r="X13" s="183">
        <f t="shared" si="6"/>
        <v>1792</v>
      </c>
      <c r="Y13" s="183">
        <f t="shared" si="6"/>
        <v>218</v>
      </c>
      <c r="Z13" s="183">
        <f t="shared" si="6"/>
        <v>192</v>
      </c>
      <c r="AA13" s="183">
        <f t="shared" si="6"/>
        <v>154</v>
      </c>
      <c r="AB13" s="183">
        <f t="shared" si="6"/>
        <v>256</v>
      </c>
      <c r="AC13" s="183">
        <f t="shared" si="6"/>
        <v>0</v>
      </c>
      <c r="AD13" s="183">
        <f t="shared" si="6"/>
        <v>0</v>
      </c>
      <c r="AE13" s="183">
        <f t="shared" si="6"/>
        <v>0</v>
      </c>
      <c r="AF13" s="183">
        <f>SUBTOTAL(9,AF9:AF12)</f>
        <v>0</v>
      </c>
      <c r="AG13" s="183">
        <f t="shared" ref="AG13:AT13" si="7">SUBTOTAL(9,AG8:AG12)</f>
        <v>168</v>
      </c>
      <c r="AH13" s="183">
        <f t="shared" si="7"/>
        <v>143</v>
      </c>
      <c r="AI13" s="183">
        <f t="shared" si="7"/>
        <v>151</v>
      </c>
      <c r="AJ13" s="183">
        <f t="shared" si="7"/>
        <v>160</v>
      </c>
      <c r="AK13" s="183">
        <f t="shared" si="7"/>
        <v>0</v>
      </c>
      <c r="AL13" s="183">
        <f t="shared" si="7"/>
        <v>0</v>
      </c>
      <c r="AM13" s="183">
        <f t="shared" si="7"/>
        <v>0</v>
      </c>
      <c r="AN13" s="183">
        <f t="shared" si="7"/>
        <v>0</v>
      </c>
      <c r="AO13" s="183">
        <f t="shared" si="7"/>
        <v>10</v>
      </c>
      <c r="AP13" s="183">
        <f t="shared" si="7"/>
        <v>9</v>
      </c>
      <c r="AQ13" s="183">
        <f t="shared" si="7"/>
        <v>8</v>
      </c>
      <c r="AR13" s="183">
        <f t="shared" si="7"/>
        <v>8</v>
      </c>
      <c r="AS13" s="183">
        <f t="shared" si="7"/>
        <v>0</v>
      </c>
      <c r="AT13" s="183">
        <f t="shared" si="7"/>
        <v>0</v>
      </c>
      <c r="AU13" s="203"/>
      <c r="AV13" s="132"/>
      <c r="AW13" s="203"/>
      <c r="AX13" s="132"/>
      <c r="AY13" s="183">
        <f>SUBTOTAL(9,AY8:AY12)</f>
        <v>8924</v>
      </c>
      <c r="AZ13" s="183">
        <f>SUBTOTAL(9,AZ8:AZ12)</f>
        <v>6750</v>
      </c>
      <c r="BA13" s="183">
        <f>SUBTOTAL(9,BA8:BA12)</f>
        <v>4533</v>
      </c>
      <c r="BB13" s="183">
        <f>SUBTOTAL(9,BB8:BB12)</f>
        <v>11141</v>
      </c>
      <c r="BC13" s="183">
        <f>SUBTOTAL(9,BC8:BC12)</f>
        <v>1789</v>
      </c>
      <c r="BD13" s="204">
        <f>IF(ISNUMBER(BA13/AZ13),BA13/AZ13," - ")</f>
        <v>0.67155555555555557</v>
      </c>
      <c r="BE13" s="205">
        <f>IF(ISNUMBER(BB13/BA13),BB13/BA13, " - ")</f>
        <v>2.457754246635782</v>
      </c>
      <c r="BF13" s="205">
        <f>IF(ISNUMBER(BC13/BA13),BC13/BA13, " - ")</f>
        <v>0.39466137215971764</v>
      </c>
      <c r="BG13" s="206">
        <f>IF(ISNUMBER((AY13+AZ13)/BA13),(AY13+AZ13)/BA13," - ")</f>
        <v>3.457754246635782</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2105</v>
      </c>
      <c r="J15" s="182">
        <v>3392</v>
      </c>
      <c r="K15" s="182">
        <v>3427</v>
      </c>
      <c r="L15" s="182">
        <v>2113</v>
      </c>
      <c r="M15" s="182">
        <v>462</v>
      </c>
      <c r="N15" s="182">
        <v>2193</v>
      </c>
      <c r="O15" s="180">
        <v>0</v>
      </c>
      <c r="P15" s="182">
        <v>97</v>
      </c>
      <c r="Q15" s="182">
        <v>78</v>
      </c>
      <c r="R15" s="182">
        <v>501</v>
      </c>
      <c r="S15" s="182">
        <v>1911</v>
      </c>
      <c r="T15" s="182">
        <v>3507</v>
      </c>
      <c r="U15" s="182">
        <v>3536</v>
      </c>
      <c r="V15" s="182">
        <v>1933</v>
      </c>
      <c r="W15" s="182">
        <v>550</v>
      </c>
      <c r="X15" s="188">
        <v>2308</v>
      </c>
      <c r="Y15" s="201">
        <v>0</v>
      </c>
      <c r="Z15" s="182">
        <v>0</v>
      </c>
      <c r="AA15" s="182">
        <v>0</v>
      </c>
      <c r="AB15" s="182">
        <v>0</v>
      </c>
      <c r="AC15" s="182">
        <v>0</v>
      </c>
      <c r="AD15" s="182">
        <v>3</v>
      </c>
      <c r="AE15" s="182">
        <v>3</v>
      </c>
      <c r="AF15" s="188">
        <v>0</v>
      </c>
      <c r="AG15" s="201">
        <v>0</v>
      </c>
      <c r="AH15" s="182">
        <v>0</v>
      </c>
      <c r="AI15" s="182">
        <v>0</v>
      </c>
      <c r="AJ15" s="202">
        <v>0</v>
      </c>
      <c r="AK15" s="181">
        <v>0</v>
      </c>
      <c r="AL15" s="182">
        <v>4</v>
      </c>
      <c r="AM15" s="182">
        <v>4</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1911</v>
      </c>
      <c r="AZ15" s="129">
        <f t="shared" si="9"/>
        <v>3507</v>
      </c>
      <c r="BA15" s="129">
        <f t="shared" si="9"/>
        <v>3536</v>
      </c>
      <c r="BB15" s="129">
        <f t="shared" si="9"/>
        <v>1933</v>
      </c>
      <c r="BC15" s="125">
        <f>IF(ISNUMBER(W15),W15," - ")</f>
        <v>550</v>
      </c>
      <c r="BD15" s="126">
        <f>IF(ISNUMBER(BA15/AZ15),BA15/AZ15," - ")</f>
        <v>1.0082691759338467</v>
      </c>
      <c r="BE15" s="127">
        <f>IF(ISNUMBER(BB15/BA15),BB15/BA15, " - ")</f>
        <v>0.54666289592760176</v>
      </c>
      <c r="BF15" s="127">
        <f>IF(ISNUMBER(BC15/BA15),BC15/BA15, " - ")</f>
        <v>0.15554298642533937</v>
      </c>
      <c r="BG15" s="195">
        <f t="shared" ref="BG15:BG17" si="10">IF(ISNUMBER((AY15+AZ15)/BA15),(AY15+AZ15)/BA15," - ")</f>
        <v>1.532239819004525</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v>
      </c>
      <c r="J17" s="182">
        <v>0</v>
      </c>
      <c r="K17" s="182">
        <v>0</v>
      </c>
      <c r="L17" s="182">
        <v>9</v>
      </c>
      <c r="M17" s="182">
        <v>0</v>
      </c>
      <c r="N17" s="182">
        <v>0</v>
      </c>
      <c r="O17" s="180">
        <v>0</v>
      </c>
      <c r="P17" s="182">
        <v>0</v>
      </c>
      <c r="Q17" s="182">
        <v>0</v>
      </c>
      <c r="R17" s="182">
        <v>0</v>
      </c>
      <c r="S17" s="182">
        <v>10</v>
      </c>
      <c r="T17" s="182">
        <v>0</v>
      </c>
      <c r="U17" s="182">
        <v>0</v>
      </c>
      <c r="V17" s="182">
        <v>9</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4">
        <v>0</v>
      </c>
      <c r="AR17" s="154">
        <v>0</v>
      </c>
      <c r="AS17" s="339" t="s">
        <v>486</v>
      </c>
      <c r="AT17" s="202"/>
      <c r="AU17" s="201"/>
      <c r="AV17" s="202"/>
      <c r="AW17" s="201"/>
      <c r="AX17" s="202"/>
      <c r="AY17" s="126">
        <f t="shared" si="9"/>
        <v>10</v>
      </c>
      <c r="AZ17" s="127">
        <f t="shared" si="9"/>
        <v>0</v>
      </c>
      <c r="BA17" s="127">
        <f t="shared" si="9"/>
        <v>0</v>
      </c>
      <c r="BB17" s="127">
        <f t="shared" si="9"/>
        <v>9</v>
      </c>
      <c r="BC17" s="125">
        <f>IF(ISNUMBER(W17),W17," - ")</f>
        <v>0</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v>
      </c>
      <c r="J18" s="182">
        <v>0</v>
      </c>
      <c r="K18" s="182">
        <v>0</v>
      </c>
      <c r="L18" s="182">
        <v>1</v>
      </c>
      <c r="M18" s="182">
        <v>0</v>
      </c>
      <c r="N18" s="182">
        <v>0</v>
      </c>
      <c r="O18" s="182">
        <v>0</v>
      </c>
      <c r="P18" s="182">
        <v>0</v>
      </c>
      <c r="Q18" s="182">
        <v>0</v>
      </c>
      <c r="R18" s="182">
        <v>0</v>
      </c>
      <c r="S18" s="182">
        <v>19</v>
      </c>
      <c r="T18" s="182">
        <v>0</v>
      </c>
      <c r="U18" s="182">
        <v>16</v>
      </c>
      <c r="V18" s="182">
        <v>3</v>
      </c>
      <c r="W18" s="182">
        <v>0</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19</v>
      </c>
      <c r="AZ18" s="129">
        <f t="shared" si="19"/>
        <v>0</v>
      </c>
      <c r="BA18" s="129">
        <f t="shared" si="19"/>
        <v>16</v>
      </c>
      <c r="BB18" s="129">
        <f t="shared" si="19"/>
        <v>3</v>
      </c>
      <c r="BC18" s="125">
        <f>IF(ISNUMBER(W18),W18," - ")</f>
        <v>0</v>
      </c>
      <c r="BD18" s="126" t="str">
        <f>IF(ISNUMBER(BA18/AZ18),BA18/AZ18," - ")</f>
        <v xml:space="preserve"> - </v>
      </c>
      <c r="BE18" s="127">
        <f>IF(ISNUMBER(BB18/BA18),BB18/BA18, " - ")</f>
        <v>0.1875</v>
      </c>
      <c r="BF18" s="127">
        <f>IF(ISNUMBER(BC18/BA18),BC18/BA18, " - ")</f>
        <v>0</v>
      </c>
      <c r="BG18" s="195">
        <f>IF(ISNUMBER((AY18+AZ18)/BA18),(AY18+AZ18)/BA18," - ")</f>
        <v>1.1875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2115</v>
      </c>
      <c r="J19" s="183">
        <f t="shared" si="20"/>
        <v>3392</v>
      </c>
      <c r="K19" s="183">
        <f t="shared" si="20"/>
        <v>3427</v>
      </c>
      <c r="L19" s="183">
        <f t="shared" si="20"/>
        <v>2123</v>
      </c>
      <c r="M19" s="183">
        <f t="shared" si="20"/>
        <v>462</v>
      </c>
      <c r="N19" s="183">
        <f t="shared" si="20"/>
        <v>2193</v>
      </c>
      <c r="O19" s="183">
        <f t="shared" si="20"/>
        <v>0</v>
      </c>
      <c r="P19" s="183">
        <f t="shared" si="20"/>
        <v>97</v>
      </c>
      <c r="Q19" s="183">
        <f t="shared" si="20"/>
        <v>78</v>
      </c>
      <c r="R19" s="183">
        <f t="shared" si="20"/>
        <v>501</v>
      </c>
      <c r="S19" s="183">
        <f t="shared" si="20"/>
        <v>1940</v>
      </c>
      <c r="T19" s="183">
        <f t="shared" si="20"/>
        <v>3507</v>
      </c>
      <c r="U19" s="183">
        <f t="shared" si="20"/>
        <v>3552</v>
      </c>
      <c r="V19" s="183">
        <f t="shared" si="20"/>
        <v>1945</v>
      </c>
      <c r="W19" s="183">
        <f t="shared" si="20"/>
        <v>550</v>
      </c>
      <c r="X19" s="183">
        <f t="shared" si="20"/>
        <v>2314</v>
      </c>
      <c r="Y19" s="183">
        <f t="shared" si="20"/>
        <v>0</v>
      </c>
      <c r="Z19" s="183">
        <f t="shared" si="20"/>
        <v>0</v>
      </c>
      <c r="AA19" s="183">
        <f t="shared" si="20"/>
        <v>0</v>
      </c>
      <c r="AB19" s="183">
        <f t="shared" si="20"/>
        <v>0</v>
      </c>
      <c r="AC19" s="183">
        <f t="shared" si="20"/>
        <v>0</v>
      </c>
      <c r="AD19" s="183">
        <f t="shared" si="20"/>
        <v>3</v>
      </c>
      <c r="AE19" s="183">
        <f t="shared" si="20"/>
        <v>3</v>
      </c>
      <c r="AF19" s="183">
        <f t="shared" si="20"/>
        <v>0</v>
      </c>
      <c r="AG19" s="183">
        <f t="shared" si="20"/>
        <v>0</v>
      </c>
      <c r="AH19" s="183">
        <f t="shared" si="20"/>
        <v>0</v>
      </c>
      <c r="AI19" s="183">
        <f t="shared" si="20"/>
        <v>0</v>
      </c>
      <c r="AJ19" s="183">
        <f t="shared" si="20"/>
        <v>0</v>
      </c>
      <c r="AK19" s="183">
        <f t="shared" si="20"/>
        <v>0</v>
      </c>
      <c r="AL19" s="183">
        <f t="shared" si="20"/>
        <v>4</v>
      </c>
      <c r="AM19" s="183">
        <f t="shared" si="20"/>
        <v>4</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1940</v>
      </c>
      <c r="AZ19" s="183">
        <f>SUBTOTAL(9,AZ14:AZ18)</f>
        <v>3507</v>
      </c>
      <c r="BA19" s="183">
        <f>SUBTOTAL(9,BA14:BA18)</f>
        <v>3552</v>
      </c>
      <c r="BB19" s="183">
        <f>SUBTOTAL(9,BB14:BB18)</f>
        <v>1945</v>
      </c>
      <c r="BC19" s="183">
        <f>SUBTOTAL(9,BC14:BC18)</f>
        <v>550</v>
      </c>
      <c r="BD19" s="204">
        <f>IF(ISNUMBER(BA19/AZ19),BA19/AZ19," - ")</f>
        <v>1.0128314798973481</v>
      </c>
      <c r="BE19" s="205">
        <f>IF(ISNUMBER(BB19/BA19),BB19/BA19, " - ")</f>
        <v>0.5475788288288288</v>
      </c>
      <c r="BF19" s="205">
        <f>IF(ISNUMBER(BC19/BA19),BC19/BA19, " - ")</f>
        <v>0.15484234234234234</v>
      </c>
      <c r="BG19" s="206">
        <f>IF(ISNUMBER((AY19+AZ19)/BA19),(AY19+AZ19)/BA19," - ")</f>
        <v>1.5335022522522523</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11100</v>
      </c>
      <c r="J20" s="134">
        <f t="shared" si="23"/>
        <v>6736</v>
      </c>
      <c r="K20" s="134">
        <f t="shared" si="23"/>
        <v>6700</v>
      </c>
      <c r="L20" s="134">
        <f t="shared" si="23"/>
        <v>11136</v>
      </c>
      <c r="M20" s="134">
        <f t="shared" si="23"/>
        <v>2033</v>
      </c>
      <c r="N20" s="134">
        <f t="shared" si="23"/>
        <v>3278</v>
      </c>
      <c r="O20" s="134">
        <f t="shared" si="23"/>
        <v>592</v>
      </c>
      <c r="P20" s="134">
        <f t="shared" si="23"/>
        <v>883</v>
      </c>
      <c r="Q20" s="134">
        <f t="shared" si="23"/>
        <v>311</v>
      </c>
      <c r="R20" s="134">
        <f t="shared" si="23"/>
        <v>15447</v>
      </c>
      <c r="S20" s="134">
        <f t="shared" si="23"/>
        <v>10696</v>
      </c>
      <c r="T20" s="134">
        <f t="shared" si="23"/>
        <v>10114</v>
      </c>
      <c r="U20" s="134">
        <f t="shared" si="23"/>
        <v>7934</v>
      </c>
      <c r="V20" s="134">
        <f t="shared" si="23"/>
        <v>12926</v>
      </c>
      <c r="W20" s="134">
        <f t="shared" si="23"/>
        <v>2170</v>
      </c>
      <c r="X20" s="134">
        <f t="shared" si="23"/>
        <v>4106</v>
      </c>
      <c r="Y20" s="134">
        <f t="shared" si="23"/>
        <v>218</v>
      </c>
      <c r="Z20" s="134">
        <f t="shared" si="23"/>
        <v>192</v>
      </c>
      <c r="AA20" s="134">
        <f t="shared" si="23"/>
        <v>154</v>
      </c>
      <c r="AB20" s="134">
        <f t="shared" si="23"/>
        <v>256</v>
      </c>
      <c r="AC20" s="134">
        <f t="shared" si="23"/>
        <v>0</v>
      </c>
      <c r="AD20" s="134">
        <f t="shared" si="23"/>
        <v>3</v>
      </c>
      <c r="AE20" s="134">
        <f t="shared" si="23"/>
        <v>3</v>
      </c>
      <c r="AF20" s="134">
        <f t="shared" si="23"/>
        <v>0</v>
      </c>
      <c r="AG20" s="134">
        <f t="shared" si="23"/>
        <v>168</v>
      </c>
      <c r="AH20" s="134">
        <f t="shared" si="23"/>
        <v>143</v>
      </c>
      <c r="AI20" s="134">
        <f t="shared" si="23"/>
        <v>151</v>
      </c>
      <c r="AJ20" s="134">
        <f t="shared" si="23"/>
        <v>160</v>
      </c>
      <c r="AK20" s="134">
        <f t="shared" si="23"/>
        <v>0</v>
      </c>
      <c r="AL20" s="134">
        <f t="shared" si="23"/>
        <v>4</v>
      </c>
      <c r="AM20" s="134">
        <f t="shared" si="23"/>
        <v>4</v>
      </c>
      <c r="AN20" s="209">
        <f t="shared" si="23"/>
        <v>0</v>
      </c>
      <c r="AO20" s="210">
        <v>14</v>
      </c>
      <c r="AP20" s="210">
        <v>13</v>
      </c>
      <c r="AQ20" s="210">
        <v>12</v>
      </c>
      <c r="AR20" s="210">
        <v>12</v>
      </c>
      <c r="AS20" s="152">
        <f t="shared" si="23"/>
        <v>0</v>
      </c>
      <c r="AT20" s="152">
        <f t="shared" si="23"/>
        <v>0</v>
      </c>
      <c r="AU20" s="210"/>
      <c r="AV20" s="211"/>
      <c r="AW20" s="210"/>
      <c r="AX20" s="211"/>
      <c r="AY20" s="133">
        <f>SUBTOTAL(9,AY9:AY19)</f>
        <v>10864</v>
      </c>
      <c r="AZ20" s="134">
        <f>SUBTOTAL(9,AZ9:AZ19)</f>
        <v>10257</v>
      </c>
      <c r="BA20" s="134">
        <f>SUBTOTAL(9,BA9:BA19)</f>
        <v>8085</v>
      </c>
      <c r="BB20" s="134">
        <f>SUBTOTAL(9,BB9:BB19)</f>
        <v>13086</v>
      </c>
      <c r="BC20" s="135">
        <f>SUBTOTAL(9,BC9:BC19)</f>
        <v>2339</v>
      </c>
      <c r="BD20" s="212">
        <f>IF(ISNUMBER(BA20/AZ20),BA20/AZ20," - ")</f>
        <v>0.78824217607487568</v>
      </c>
      <c r="BE20" s="209">
        <f>IF(ISNUMBER(BB20/BA20),BB20/BA20, " - ")</f>
        <v>1.6185528756957328</v>
      </c>
      <c r="BF20" s="209">
        <f>IF(ISNUMBER(BC20/BA20),BC20/BA20, " - ")</f>
        <v>0.28930117501546071</v>
      </c>
      <c r="BG20" s="135">
        <f>IF(ISNUMBER((AY20+AZ20)/BA20),(AY20+AZ20)/BA20," - ")</f>
        <v>2.6123685837971551</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oAYny5L/Pteue7fQXSkjtcAnTjexPl4tilESw6U+6A7e1g0ZAg2C1ZoXKuritHEoAoj/6unOmO+XSP6UKCyNg==" saltValue="U4aqA5QQ2b/kfGlwJCeM7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1qrMmElkhIkoEHmqB8wFFcm0w5PIPvRpF0LKUcNHIZgczJpeQLaQd1f0JBqNP8yinZcwrsYq/PARDL+hgEd+w==" saltValue="G7KD/nl+ntaEkjN6BgQqM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SAN CRISTOBAL DE LA LAGUNA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7</v>
      </c>
      <c r="B9" s="1275" t="s">
        <v>247</v>
      </c>
      <c r="C9" s="1200" t="str">
        <f>Datos!A9</f>
        <v>Sección Civil del T.I</v>
      </c>
      <c r="D9" s="1276"/>
      <c r="E9" s="1226">
        <f>IF(ISNUMBER(Datos!AQ9),Datos!AQ9," - ")</f>
        <v>7</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137</v>
      </c>
      <c r="O9" s="1247"/>
      <c r="P9" s="1247"/>
      <c r="Q9" s="1215">
        <f>IF(ISNUMBER(Datos!P9),Datos!P9,0)</f>
        <v>782</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233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157</v>
      </c>
      <c r="AI9" s="1247" t="str">
        <f>IF(ISNUMBER(Datos!CD9),Datos!CD9,"-")</f>
        <v>-</v>
      </c>
      <c r="AJ9" s="1247" t="str">
        <f>IF(ISNUMBER(Datos!EN9),Datos!EN9," - ")</f>
        <v xml:space="preserve"> - </v>
      </c>
      <c r="AK9" s="1247"/>
      <c r="AL9" s="1258"/>
      <c r="AM9" s="1248">
        <f>IF(ISNUMBER(Datos!R9),Datos!R9," - ")</f>
        <v>14867</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1495</v>
      </c>
      <c r="BD9" s="1218">
        <f>IF(ISNUMBER(Datos!N9),Datos!N9," - ")</f>
        <v>986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0.99040247678018578</v>
      </c>
      <c r="BH9" s="1226">
        <f>IF(ISNUMBER(((IF(J_V="SI",Datos!L9/Datos!K9,(Datos!L9+Datos!AB9)/(Datos!K9+Datos!AA9)))*11)/factor_trimestre),((IF(J_V="SI",Datos!L9/Datos!K9,(Datos!L9+Datos!AB9)/(Datos!K9+Datos!AA9)))*11)/factor_trimestre," - ")</f>
        <v>8.0490778368240079</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3.8343344042464034E-2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v>
      </c>
      <c r="AG10" s="1247"/>
      <c r="AH10" s="1247"/>
      <c r="AI10" s="1247"/>
      <c r="AJ10" s="1247"/>
      <c r="AK10" s="1247"/>
      <c r="AL10" s="1258"/>
      <c r="AM10" s="1248">
        <f>IF(ISNUMBER(Datos!R10),Datos!R10," - ")</f>
        <v>66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247</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55</v>
      </c>
      <c r="O11" s="1247"/>
      <c r="P11" s="1247"/>
      <c r="Q11" s="1215">
        <f>IF(ISNUMBER(Datos!P11),Datos!P11,0)</f>
        <v>4</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0</v>
      </c>
      <c r="AD11" s="1247"/>
      <c r="AE11" s="1262"/>
      <c r="AF11" s="1245" t="str">
        <f>IF(ISNUMBER(IF(J_V="SI",Datos!L11,Datos!L11+Datos!AB11)-IF(Monitorios="SI",Datos!CD11,0)),
                          IF(J_V="SI",Datos!L11,Datos!L11+Datos!AB11)-IF(Monitorios="SI",Datos!CD11,0),
                          " - ")</f>
        <v xml:space="preserve"> - </v>
      </c>
      <c r="AG11" s="1247"/>
      <c r="AH11" s="1247">
        <f>IF(ISNUMBER(Datos!AB11),Datos!AB11,"-")</f>
        <v>99</v>
      </c>
      <c r="AI11" s="1247"/>
      <c r="AJ11" s="1247"/>
      <c r="AK11" s="1247"/>
      <c r="AL11" s="1258"/>
      <c r="AM11" s="1248">
        <f>IF(ISNUMBER(Datos!R11),Datos!R11," - ")</f>
        <v>13</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76</v>
      </c>
      <c r="BD11" s="1218">
        <f>IF(ISNUMBER(Datos!N11),Datos!N11," - ")</f>
        <v>99</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0.74509803921568629</v>
      </c>
      <c r="BH11" s="1226">
        <f>IF(ISNUMBER(((IF(J_V="SI",Datos!L11/Datos!K11,(Datos!L11+Datos!AB11)/(Datos!K11+Datos!AA11)))*11)/factor_trimestre),((IF(J_V="SI",Datos!L11/Datos!K11,(Datos!L11+Datos!AB11)/(Datos!K11+Datos!AA11)))*11)/factor_trimestre," - ")</f>
        <v>9</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0.44444444444444442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192</v>
      </c>
      <c r="O13" s="1393">
        <f t="shared" si="0"/>
        <v>0</v>
      </c>
      <c r="P13" s="1393">
        <f t="shared" si="0"/>
        <v>0</v>
      </c>
      <c r="Q13" s="1392">
        <f t="shared" si="0"/>
        <v>786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233</v>
      </c>
      <c r="AD13" s="1392">
        <f t="shared" si="1"/>
        <v>0</v>
      </c>
      <c r="AE13" s="1392">
        <f t="shared" si="1"/>
        <v>0</v>
      </c>
      <c r="AF13" s="1392">
        <f t="shared" si="1"/>
        <v>2</v>
      </c>
      <c r="AG13" s="1392">
        <f t="shared" si="1"/>
        <v>0</v>
      </c>
      <c r="AH13" s="1392">
        <f t="shared" si="1"/>
        <v>256</v>
      </c>
      <c r="AI13" s="1392">
        <f t="shared" si="1"/>
        <v>0</v>
      </c>
      <c r="AJ13" s="1392">
        <f t="shared" si="1"/>
        <v>0</v>
      </c>
      <c r="AK13" s="1392">
        <f t="shared" si="1"/>
        <v>0</v>
      </c>
      <c r="AL13" s="1392">
        <f t="shared" si="1"/>
        <v>0</v>
      </c>
      <c r="AM13" s="1392">
        <f t="shared" si="1"/>
        <v>14946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1571</v>
      </c>
      <c r="BD13" s="1392">
        <f t="shared" si="1"/>
        <v>1085</v>
      </c>
      <c r="BE13" s="1392">
        <f t="shared" si="1"/>
        <v>0</v>
      </c>
      <c r="BF13" s="1392">
        <f t="shared" si="1"/>
        <v>0</v>
      </c>
      <c r="BG13" s="1392">
        <f>IF(ISNUMBER(Datos!K13/Datos!J13),Datos!K13/Datos!J13," - ")</f>
        <v>0.97876794258373201</v>
      </c>
      <c r="BH13" s="1396">
        <f>IF(ISNUMBER(((Datos!L13/Datos!K13)*11)/factor_trimestre),((Datos!L13/Datos!K13)*11)/factor_trimestre," - ")</f>
        <v>8.2612282309807519</v>
      </c>
      <c r="BI13" s="1392">
        <f>IF(ISNUMBER('Resol  Asuntos'!D13/NºAsuntos!G13),'Resol  Asuntos'!D13/NºAsuntos!G13," - ")</f>
        <v>0.45841844178581848</v>
      </c>
      <c r="BJ13" s="1392" t="str">
        <f>IF(ISNUMBER(Datos!CI13/Datos!CJ13),Datos!CI13/Datos!CJ13," - ")</f>
        <v xml:space="preserve"> - </v>
      </c>
      <c r="BK13" s="1392">
        <f>SUBTOTAL(9,BK8:BK12)</f>
        <v>0</v>
      </c>
      <c r="BL13" s="1392">
        <f>IF(ISNUMBER((I13-AB13+L13)/(F13)),(I13-AB13+L13)/(F13)," - ")</f>
        <v>0</v>
      </c>
      <c r="BM13" s="1397">
        <f>SUBTOTAL(9,BM9:BM12)</f>
        <v>0.48278778848690845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2148</v>
      </c>
      <c r="G15" s="1335">
        <f>IF(ISNUMBER(IF(D_I="SI",Datos!I15,Datos!I15+Datos!AC15)),IF(D_I="SI",Datos!I15,Datos!I15+Datos!AC15)," - ")</f>
        <v>2105</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97</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3427</v>
      </c>
      <c r="AC15" s="1215">
        <f>IF(ISNUMBER(Datos!Q15),Datos!Q15," - ")</f>
        <v>78</v>
      </c>
      <c r="AD15" s="1247"/>
      <c r="AE15" s="1262"/>
      <c r="AF15" s="1333">
        <f>IF(ISNUMBER(IF(D_I="SI",Datos!L15,Datos!L15+Datos!AF15)),IF(D_I="SI",Datos!L15,Datos!L15+Datos!AF15)," - ")</f>
        <v>2113</v>
      </c>
      <c r="AG15" s="1247"/>
      <c r="AH15" s="1247"/>
      <c r="AI15" s="1247"/>
      <c r="AJ15" s="1247"/>
      <c r="AK15" s="1247"/>
      <c r="AL15" s="1258"/>
      <c r="AM15" s="1248">
        <f>IF(ISNUMBER(Datos!R15),Datos!R15," - ")</f>
        <v>501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462</v>
      </c>
      <c r="BD15" s="1218">
        <f>IF(ISNUMBER(Datos!N15),Datos!N15," - ")</f>
        <v>2193</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1.0103183962264151</v>
      </c>
      <c r="BH15" s="1226">
        <f>IF(ISNUMBER(((IF(D_I="SI",Datos!L15/Datos!K15,(Datos!L15+Datos!AF15)/(Datos!K15+Datos!AE15)))*11)/factor_trimestre),((IF(D_I="SI",Datos!L15/Datos!K15,(Datos!L15+Datos!AF15)/(Datos!K15+Datos!AE15)))*11)/factor_trimestre," - ")</f>
        <v>1.8497227896119055</v>
      </c>
      <c r="BI15" s="1223">
        <f>IF(ISNUMBER('Resol  Asuntos'!D15/NºAsuntos!G15),'Resol  Asuntos'!D15/NºAsuntos!G15," - ")</f>
        <v>0.13481178873650423</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f>IF(ISNUMBER(AF17+AB17-Datos!J17-L17),AF17+AB17-Datos!J17-L17," - ")</f>
        <v>9</v>
      </c>
      <c r="G17" s="1335">
        <f>IF(ISNUMBER(IF(D_I="SI",Datos!I17,Datos!I17+Datos!AC17)),IF(D_I="SI",Datos!I17,Datos!I17+Datos!AC17)," - ")</f>
        <v>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0</v>
      </c>
      <c r="AC17" s="1215">
        <f>IF(ISNUMBER(Datos!Q17),Datos!Q17," - ")</f>
        <v>0</v>
      </c>
      <c r="AD17" s="1247"/>
      <c r="AE17" s="1262"/>
      <c r="AF17" s="1333">
        <f>IF(ISNUMBER(IF(D_I="SI",Datos!L17,Datos!L17+Datos!AF17)),IF(D_I="SI",Datos!L17,Datos!L17+Datos!AF17)," - ")</f>
        <v>9</v>
      </c>
      <c r="AG17" s="1247"/>
      <c r="AH17" s="1247"/>
      <c r="AI17" s="1247"/>
      <c r="AJ17" s="1247"/>
      <c r="AK17" s="1247"/>
      <c r="AL17" s="1258"/>
      <c r="AM17" s="1248">
        <f>IF(ISNUMBER(Datos!R17),Datos!R17," - ")</f>
        <v>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0</v>
      </c>
      <c r="BD17" s="1218">
        <f>IF(ISNUMBER(Datos!N17),Datos!N17," - ")</f>
        <v>0</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2157</v>
      </c>
      <c r="G19" s="1391">
        <f>SUBTOTAL(9,G15:G18)</f>
        <v>2115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3427</v>
      </c>
      <c r="AC19" s="1392">
        <f t="shared" si="4"/>
        <v>78</v>
      </c>
      <c r="AD19" s="1392">
        <f t="shared" si="4"/>
        <v>0</v>
      </c>
      <c r="AE19" s="1392">
        <f t="shared" si="4"/>
        <v>0</v>
      </c>
      <c r="AF19" s="1392">
        <f t="shared" si="4"/>
        <v>2123</v>
      </c>
      <c r="AG19" s="1392">
        <f t="shared" si="4"/>
        <v>0</v>
      </c>
      <c r="AH19" s="1392">
        <f t="shared" si="4"/>
        <v>0</v>
      </c>
      <c r="AI19" s="1392">
        <f t="shared" si="4"/>
        <v>0</v>
      </c>
      <c r="AJ19" s="1392">
        <f t="shared" si="4"/>
        <v>0</v>
      </c>
      <c r="AK19" s="1392">
        <f t="shared" si="4"/>
        <v>0</v>
      </c>
      <c r="AL19" s="1392">
        <f t="shared" si="4"/>
        <v>0</v>
      </c>
      <c r="AM19" s="1392">
        <f t="shared" si="4"/>
        <v>501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462</v>
      </c>
      <c r="BD19" s="1392">
        <f t="shared" si="4"/>
        <v>2193</v>
      </c>
      <c r="BE19" s="1392">
        <f t="shared" si="4"/>
        <v>0</v>
      </c>
      <c r="BF19" s="1392">
        <f t="shared" si="4"/>
        <v>0</v>
      </c>
      <c r="BG19" s="1392">
        <f>IF(ISNUMBER(Datos!K19/Datos!J19),Datos!K19/Datos!J19," - ")</f>
        <v>1.0103183962264151</v>
      </c>
      <c r="BH19" s="1396">
        <f>IF(ISNUMBER(((Datos!L19/Datos!K19)*11)/factor_trimestre),((Datos!L19/Datos!K19)*11)/factor_trimestre," - ")</f>
        <v>1.8584768018675224</v>
      </c>
      <c r="BI19" s="1392">
        <f>SUBTOTAL(9,BI15:BI18)</f>
        <v>0.13481178873650423</v>
      </c>
      <c r="BJ19" s="1392">
        <f>SUBTOTAL(9,BJ15:BJ18)</f>
        <v>0</v>
      </c>
      <c r="BK19" s="1392">
        <f>SUBTOTAL(9,BK15:BK18)</f>
        <v>0</v>
      </c>
      <c r="BL19" s="1392">
        <f>IF(ISNUMBER((I19-AB19+L19)/(F19)),(I19-AB19+L19)/(F19)," - ")</f>
        <v>-1.5887807139545664</v>
      </c>
      <c r="BM19" s="1398">
        <f>IF(ISNUMBER((Datos!P19-Datos!Q19)/(Datos!R19-Datos!P19+Datos!Q19)),(Datos!P19-Datos!Q19)/(Datos!R19-Datos!P19+Datos!Q19)," - ")</f>
        <v>3.9419087136929459E-2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2159</v>
      </c>
      <c r="G20" s="1367">
        <f t="shared" si="6"/>
        <v>2117</v>
      </c>
      <c r="H20" s="1369">
        <f t="shared" si="6"/>
        <v>0</v>
      </c>
      <c r="I20" s="1367">
        <f t="shared" si="6"/>
        <v>0</v>
      </c>
      <c r="J20" s="1369">
        <f t="shared" si="6"/>
        <v>0</v>
      </c>
      <c r="K20" s="1369">
        <f t="shared" si="6"/>
        <v>0</v>
      </c>
      <c r="L20" s="1386">
        <f t="shared" si="6"/>
        <v>0</v>
      </c>
      <c r="M20" s="1386">
        <f t="shared" si="6"/>
        <v>0</v>
      </c>
      <c r="N20" s="1386">
        <f t="shared" si="6"/>
        <v>192</v>
      </c>
      <c r="O20" s="1386">
        <f t="shared" si="6"/>
        <v>0</v>
      </c>
      <c r="P20" s="1386">
        <f t="shared" si="6"/>
        <v>0</v>
      </c>
      <c r="Q20" s="1369">
        <f t="shared" si="6"/>
        <v>883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3427</v>
      </c>
      <c r="AC20" s="1368">
        <f t="shared" si="7"/>
        <v>311</v>
      </c>
      <c r="AD20" s="1368">
        <f t="shared" si="7"/>
        <v>0</v>
      </c>
      <c r="AE20" s="1368">
        <f t="shared" si="7"/>
        <v>0</v>
      </c>
      <c r="AF20" s="1371">
        <f t="shared" si="7"/>
        <v>2125</v>
      </c>
      <c r="AG20" s="1371">
        <f t="shared" si="7"/>
        <v>0</v>
      </c>
      <c r="AH20" s="1371">
        <f t="shared" si="7"/>
        <v>256</v>
      </c>
      <c r="AI20" s="1371">
        <f t="shared" si="7"/>
        <v>0</v>
      </c>
      <c r="AJ20" s="1368">
        <f t="shared" si="7"/>
        <v>0</v>
      </c>
      <c r="AK20" s="1371">
        <f t="shared" si="7"/>
        <v>0</v>
      </c>
      <c r="AL20" s="1371">
        <f t="shared" si="7"/>
        <v>0</v>
      </c>
      <c r="AM20" s="1371">
        <f t="shared" si="7"/>
        <v>15447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2033</v>
      </c>
      <c r="BD20" s="1367">
        <f t="shared" si="7"/>
        <v>3278</v>
      </c>
      <c r="BE20" s="1367">
        <f t="shared" si="7"/>
        <v>0</v>
      </c>
      <c r="BF20" s="1373">
        <f t="shared" si="7"/>
        <v>0</v>
      </c>
      <c r="BG20" s="1404">
        <f>IF(ISNUMBER(Datos!K20/Datos!J20),Datos!K20/Datos!J20," - ")</f>
        <v>0.99465558194774351</v>
      </c>
      <c r="BH20" s="1404">
        <f>IF(ISNUMBER(((Datos!L20/Datos!K20)*11)/factor_trimestre),((Datos!L20/Datos!K20)*11)/factor_trimestre," - ")</f>
        <v>4.9862686567164181</v>
      </c>
      <c r="BI20" s="1362">
        <f>IF(ISNUMBER(Datos!J20/Datos!I20),Datos!J20/Datos!I20," - ")</f>
        <v>0.60684684684684687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-1.5873089393237609</v>
      </c>
      <c r="BM20" s="1387">
        <f>IF(ISNUMBER((Datos!P20-Datos!Q20+R20)/(Datos!R20-Datos!P20+Datos!Q20-R20)),(Datos!P20-Datos!Q20+R20)/(Datos!R20-Datos!P20+Datos!Q20-R20)," - ")</f>
        <v>3.8453781512605041E-2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705.66666666666663</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3.1340424729448424</v>
      </c>
      <c r="F22" s="1298">
        <f>IF(ISNUMBER(STDEV(F8:F19)),STDEV(F8:F19),"-")</f>
        <v>1176.6071136959865</v>
      </c>
      <c r="G22" s="1299">
        <f>IF(ISNUMBER(STDEV(G8:G19)),STDEV(G8:G19),"-")</f>
        <v>1087.800288043107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1769.6951903270424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662.15940031730383</v>
      </c>
      <c r="BD22" s="1298"/>
      <c r="BE22" s="1298">
        <f>IF(ISNUMBER(STDEV(BE8:BE19)),STDEV(BE8:BE19),"-")</f>
        <v>0</v>
      </c>
      <c r="BF22" s="1303">
        <f>IF(ISNUMBER(STDEV(BF8:BF19)),STDEV(BF8:BF19),"-")</f>
        <v>0</v>
      </c>
      <c r="BG22" s="1360">
        <f>IF(ISNUMBER(STDEV(BG8:BG19)),STDEV(BG8:BG19),"-")</f>
        <v>0.11366157633640452</v>
      </c>
      <c r="BH22" s="1361">
        <f>IF(ISNUMBER(STDEV(BH8:BH19)),STDEV(BH8:BH19),"-")</f>
        <v>3.622713837357034</v>
      </c>
      <c r="BI22" s="1224">
        <f>IF(ISNUMBER(STDEV(BI8:BI19)),STDEV(BI8:BI19),"-")</f>
        <v>0.18683438824957543</v>
      </c>
      <c r="BJ22" s="1219" t="str">
        <f>IF(ISNUMBER(BL22/BM22),BL22/BM22," - ")</f>
        <v xml:space="preserve"> - </v>
      </c>
      <c r="BK22" s="1320"/>
      <c r="BL22" s="1306">
        <f>IF(ISNUMBER(STDEV(BL8:BL19)),STDEV(BL8:BL19),"-")</f>
        <v>1.1234376166556783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UzH7jEyGdkDzAcDX9gOlAfhOPBvDupYOZt1Jdd7kLnk7i1/AntFzKHSr75VGCEcYn35KXXo5LDC0PkvxhxjoA==" saltValue="SXOz0dRjYdxRhKtYYyx+P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 CRISTOBAL DE LA LAGUNA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782</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233</v>
      </c>
      <c r="AA9" s="331" t="str">
        <f>IF(ISNUMBER(IF(J_V="SI",Datos!L9,Datos!L9+Datos!AB9)-IF(Monitorios="SI",Datos!CD9,0)),
                          IF(J_V="SI",Datos!L9,Datos!L9+Datos!AB9)-IF(Monitorios="SI",Datos!CD9,0),
                          " - ")</f>
        <v xml:space="preserve"> - </v>
      </c>
      <c r="AB9" s="333"/>
      <c r="AC9" s="333"/>
      <c r="AD9" s="483"/>
      <c r="AE9" s="483">
        <f>IF(ISNUMBER(Datos!R9),Datos!R9," - ")</f>
        <v>14867</v>
      </c>
      <c r="AF9" s="228" t="str">
        <f>IF(ISNUMBER(Datos!BV9),Datos!BV9," - ")</f>
        <v xml:space="preserve"> - </v>
      </c>
      <c r="AG9" s="224" t="str">
        <f>IF(ISNUMBER(Datos!DV9),Datos!DV9," - ")</f>
        <v xml:space="preserve"> - </v>
      </c>
      <c r="AH9" s="297"/>
      <c r="AI9" s="226"/>
      <c r="AJ9" s="224">
        <f>IF(ISNUMBER(Datos!M9),Datos!M9," - ")</f>
        <v>1495</v>
      </c>
      <c r="AK9" s="228">
        <f>IF(ISNUMBER(Datos!N9),Datos!N9," - ")</f>
        <v>986</v>
      </c>
      <c r="AL9" s="228" t="str">
        <f>IF(ISNUMBER(Datos!BW9),Datos!BW9," - ")</f>
        <v xml:space="preserve"> - </v>
      </c>
      <c r="AM9" s="227" t="str">
        <f>IF(ISNUMBER(Datos!BX9),Datos!BX9," - ")</f>
        <v xml:space="preserve"> - </v>
      </c>
      <c r="AN9" s="242"/>
      <c r="AO9" s="259">
        <f>IF(ISNUMBER(((NºAsuntos!I9/NºAsuntos!G9)*11)/factor_trimestre),((NºAsuntos!I9/NºAsuntos!G9)*11)/factor_trimestre," - ")</f>
        <v>8.0490778368240079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3.8343344042464034E-2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247</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0</v>
      </c>
      <c r="AA11" s="331" t="str">
        <f>IF(ISNUMBER(IF(J_V="SI",Datos!L11,Datos!L11+Datos!AB11)-IF(Monitorios="SI",Datos!CD11,0)),
                          IF(J_V="SI",Datos!L11,Datos!L11+Datos!AB11)-IF(Monitorios="SI",Datos!CD11,0),
                          " - ")</f>
        <v xml:space="preserve"> - </v>
      </c>
      <c r="AB11" s="333"/>
      <c r="AC11" s="333"/>
      <c r="AD11" s="483"/>
      <c r="AE11" s="483">
        <f>IF(ISNUMBER(Datos!R11),Datos!R11," - ")</f>
        <v>13</v>
      </c>
      <c r="AF11" s="228" t="str">
        <f>IF(ISNUMBER(Datos!BV11),Datos!BV11," - ")</f>
        <v xml:space="preserve"> - </v>
      </c>
      <c r="AG11" s="224" t="str">
        <f>IF(ISNUMBER(Datos!DV11),Datos!DV11," - ")</f>
        <v xml:space="preserve"> - </v>
      </c>
      <c r="AH11" s="297"/>
      <c r="AI11" s="226"/>
      <c r="AJ11" s="224">
        <f>IF(ISNUMBER(Datos!M11),Datos!M11," - ")</f>
        <v>76</v>
      </c>
      <c r="AK11" s="228">
        <f>IF(ISNUMBER(Datos!N11),Datos!N11," - ")</f>
        <v>99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0.44444444444444442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786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233</v>
      </c>
      <c r="AA13" s="897">
        <f t="shared" si="2"/>
        <v>2</v>
      </c>
      <c r="AB13" s="897">
        <f t="shared" si="2"/>
        <v>0</v>
      </c>
      <c r="AC13" s="897">
        <f t="shared" si="2"/>
        <v>0</v>
      </c>
      <c r="AD13" s="897">
        <f t="shared" si="2"/>
        <v>0</v>
      </c>
      <c r="AE13" s="897">
        <f t="shared" si="2"/>
        <v>14946</v>
      </c>
      <c r="AF13" s="905">
        <f t="shared" si="2"/>
        <v>0</v>
      </c>
      <c r="AG13" s="905">
        <f t="shared" si="2"/>
        <v>0</v>
      </c>
      <c r="AH13" s="905">
        <f t="shared" si="2"/>
        <v>0</v>
      </c>
      <c r="AI13" s="905">
        <f t="shared" si="2"/>
        <v>0</v>
      </c>
      <c r="AJ13" s="905">
        <f t="shared" si="2"/>
        <v>1571</v>
      </c>
      <c r="AK13" s="905">
        <f t="shared" si="2"/>
        <v>1085</v>
      </c>
      <c r="AL13" s="905">
        <f t="shared" si="2"/>
        <v>0</v>
      </c>
      <c r="AM13" s="905">
        <f t="shared" si="2"/>
        <v>0</v>
      </c>
      <c r="AN13" s="905">
        <f t="shared" si="2"/>
        <v>0</v>
      </c>
      <c r="AO13" s="901">
        <f>IF(ISNUMBER(((NºAsuntos!I13/NºAsuntos!G13)*11)/factor_trimestre),((NºAsuntos!I13/NºAsuntos!G13)*11)/factor_trimestre," - ")</f>
        <v>8.1140939597315445</v>
      </c>
      <c r="AP13" s="907" t="str">
        <f>IF(ISNUMBER(Datos!CI13/Datos!CJ13),Datos!CI13/Datos!CJ13," - ")</f>
        <v xml:space="preserve"> - </v>
      </c>
      <c r="AQ13" s="923">
        <f t="shared" ref="AQ13:AV13" si="3">SUBTOTAL(9,AQ9:AQ12)</f>
        <v>0</v>
      </c>
      <c r="AR13" s="923">
        <f t="shared" si="3"/>
        <v>0.48278778848690845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2148</v>
      </c>
      <c r="G15" s="224">
        <f>IF(ISNUMBER(IF(D_I="SI",Datos!I15,Datos!I15+Datos!AC15)),IF(D_I="SI",Datos!I15,Datos!I15+Datos!AC15)," - ")</f>
        <v>2105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97</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3427</v>
      </c>
      <c r="Z15" s="617">
        <f>IF(ISNUMBER(Datos!Q15),Datos!Q15," - ")</f>
        <v>78</v>
      </c>
      <c r="AA15" s="331">
        <f>IF(ISNUMBER(IF(D_I="SI",Datos!L15,Datos!L15+Datos!AF15)),IF(D_I="SI",Datos!L15,Datos!L15+Datos!AF15)," - ")</f>
        <v>2113</v>
      </c>
      <c r="AB15" s="333"/>
      <c r="AC15" s="333"/>
      <c r="AD15" s="483"/>
      <c r="AE15" s="483">
        <f>IF(ISNUMBER(Datos!R15),Datos!R15," - ")</f>
        <v>501</v>
      </c>
      <c r="AF15" s="228" t="str">
        <f>IF(ISNUMBER(Datos!BV15),Datos!BV15," - ")</f>
        <v xml:space="preserve"> - </v>
      </c>
      <c r="AG15" s="224"/>
      <c r="AH15" s="297"/>
      <c r="AI15" s="226"/>
      <c r="AJ15" s="224">
        <f>IF(ISNUMBER(Datos!M15),Datos!M15," - ")</f>
        <v>462</v>
      </c>
      <c r="AK15" s="228">
        <f>IF(ISNUMBER(Datos!N15),Datos!N15," - ")</f>
        <v>2193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1.8497227896119055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f>IF(ISNUMBER(AA17+Y17-Datos!J17-K15),AA17+Y17-Datos!J17-K15," - ")</f>
        <v>9</v>
      </c>
      <c r="G17" s="224">
        <f>IF(ISNUMBER(IF(D_I="SI",Datos!I17,Datos!I17+Datos!AC17)),IF(D_I="SI",Datos!I17,Datos!I17+Datos!AC17)," - ")</f>
        <v>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0</v>
      </c>
      <c r="Z17" s="617">
        <f>IF(ISNUMBER(Datos!Q17),Datos!Q17," - ")</f>
        <v>0</v>
      </c>
      <c r="AA17" s="331">
        <f>IF(ISNUMBER(IF(D_I="SI",Datos!L17,Datos!L17+Datos!AF17)),IF(D_I="SI",Datos!L17,Datos!L17+Datos!AF17)," - ")</f>
        <v>9</v>
      </c>
      <c r="AB17" s="333"/>
      <c r="AC17" s="333"/>
      <c r="AD17" s="483"/>
      <c r="AE17" s="483">
        <f>IF(ISNUMBER(Datos!R17),Datos!R17," - ")</f>
        <v>0</v>
      </c>
      <c r="AF17" s="228" t="str">
        <f>IF(ISNUMBER(Datos!BV17),Datos!BV17," - ")</f>
        <v xml:space="preserve"> - </v>
      </c>
      <c r="AG17" s="224"/>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2157</v>
      </c>
      <c r="G19" s="895">
        <f>SUBTOTAL(9,G15:G18)</f>
        <v>2115</v>
      </c>
      <c r="H19" s="927">
        <f>SUBTOTAL(9,H15:H18)</f>
        <v>0</v>
      </c>
      <c r="I19" s="908">
        <f>SUBTOTAL(9,I15:I18)</f>
        <v>0</v>
      </c>
      <c r="J19" s="864">
        <f>SUBTOTAL(9,J14:J18)</f>
        <v>0</v>
      </c>
      <c r="K19" s="927">
        <f t="shared" ref="K19:S19" si="4">SUBTOTAL(9,K15:K18)</f>
        <v>0</v>
      </c>
      <c r="L19" s="927">
        <f t="shared" si="4"/>
        <v>0</v>
      </c>
      <c r="M19" s="927">
        <f t="shared" si="4"/>
        <v>0</v>
      </c>
      <c r="N19" s="927">
        <f t="shared" si="4"/>
        <v>97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3427</v>
      </c>
      <c r="Z19" s="927">
        <f t="shared" si="5"/>
        <v>78</v>
      </c>
      <c r="AA19" s="927">
        <f t="shared" si="5"/>
        <v>2123</v>
      </c>
      <c r="AB19" s="927">
        <f t="shared" si="5"/>
        <v>0</v>
      </c>
      <c r="AC19" s="927">
        <f t="shared" si="5"/>
        <v>0</v>
      </c>
      <c r="AD19" s="927">
        <f t="shared" si="5"/>
        <v>0</v>
      </c>
      <c r="AE19" s="927">
        <f t="shared" si="5"/>
        <v>501</v>
      </c>
      <c r="AF19" s="927">
        <f t="shared" si="5"/>
        <v>0</v>
      </c>
      <c r="AG19" s="927">
        <f t="shared" si="5"/>
        <v>0</v>
      </c>
      <c r="AH19" s="927">
        <f t="shared" si="5"/>
        <v>0</v>
      </c>
      <c r="AI19" s="927">
        <f t="shared" si="5"/>
        <v>0</v>
      </c>
      <c r="AJ19" s="927">
        <f t="shared" si="5"/>
        <v>462</v>
      </c>
      <c r="AK19" s="927">
        <f t="shared" si="5"/>
        <v>2193</v>
      </c>
      <c r="AL19" s="927">
        <f t="shared" si="5"/>
        <v>0</v>
      </c>
      <c r="AM19" s="927">
        <f t="shared" si="5"/>
        <v>0</v>
      </c>
      <c r="AN19" s="927">
        <f t="shared" si="5"/>
        <v>0</v>
      </c>
      <c r="AO19" s="929">
        <f>IF(ISNUMBER(((NºAsuntos!I19/NºAsuntos!G19)*11)/factor_trimestre),((NºAsuntos!I19/NºAsuntos!G19)*11)/factor_trimestre," - ")</f>
        <v>1.8584768018675224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2159</v>
      </c>
      <c r="G20" s="817">
        <f t="shared" si="7"/>
        <v>2117</v>
      </c>
      <c r="H20" s="818">
        <f t="shared" si="7"/>
        <v>0</v>
      </c>
      <c r="I20" s="817">
        <f t="shared" si="7"/>
        <v>0</v>
      </c>
      <c r="J20" s="819">
        <f t="shared" si="7"/>
        <v>0</v>
      </c>
      <c r="K20" s="817">
        <f t="shared" si="7"/>
        <v>0</v>
      </c>
      <c r="L20" s="820">
        <f t="shared" si="7"/>
        <v>0</v>
      </c>
      <c r="M20" s="817">
        <f t="shared" si="7"/>
        <v>0</v>
      </c>
      <c r="N20" s="818">
        <f t="shared" si="7"/>
        <v>883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3427</v>
      </c>
      <c r="Z20" s="824">
        <f t="shared" si="8"/>
        <v>311</v>
      </c>
      <c r="AA20" s="825">
        <f t="shared" si="8"/>
        <v>2125</v>
      </c>
      <c r="AB20" s="825">
        <f t="shared" si="8"/>
        <v>0</v>
      </c>
      <c r="AC20" s="825">
        <f t="shared" si="8"/>
        <v>0</v>
      </c>
      <c r="AD20" s="826">
        <f t="shared" si="8"/>
        <v>0</v>
      </c>
      <c r="AE20" s="826">
        <f t="shared" si="8"/>
        <v>15447</v>
      </c>
      <c r="AF20" s="827">
        <f t="shared" si="8"/>
        <v>0</v>
      </c>
      <c r="AG20" s="828">
        <f t="shared" si="8"/>
        <v>0</v>
      </c>
      <c r="AH20" s="829">
        <f t="shared" si="8"/>
        <v>0</v>
      </c>
      <c r="AI20" s="827">
        <f t="shared" si="8"/>
        <v>0</v>
      </c>
      <c r="AJ20" s="817">
        <f t="shared" si="8"/>
        <v>2033</v>
      </c>
      <c r="AK20" s="817">
        <f t="shared" si="8"/>
        <v>3278</v>
      </c>
      <c r="AL20" s="817">
        <f t="shared" si="8"/>
        <v>0</v>
      </c>
      <c r="AM20" s="830">
        <f t="shared" si="8"/>
        <v>0</v>
      </c>
      <c r="AN20" s="820">
        <f>IF(ISNUMBER(Datos!K20/Datos!J20),Datos!K20/Datos!J20," - ")</f>
        <v>0.99465558194774351</v>
      </c>
      <c r="AO20" s="820">
        <f>IF(ISNUMBER(FIND("06",Criterios!A8,1)),(IF(ISNUMBER(((Datos!R20/Datos!Q20)*11)/factor_trimestre),((Datos!R20/Datos!Q20)*11)/factor_trimestre," - ")),(IF(ISNUMBER(((Datos!L20/Datos!K20)*11)/factor_trimestre),((Datos!L20/Datos!K20)*11)/factor_trimestre," - ")))</f>
        <v>4.9862686567164181</v>
      </c>
      <c r="AP20" s="831" t="str">
        <f>IF(ISNUMBER(Datos!CI20/Datos!CJ20),Datos!CI20/Datos!CJ20," - ")</f>
        <v xml:space="preserve"> - </v>
      </c>
      <c r="AQ20" s="831">
        <f>IF(OR(ISNUMBER(FIND("01",Criterios!A8,1)),ISNUMBER(FIND("02",Criterios!A8,1)),ISNUMBER(FIND("03",Criterios!A8,1)),ISNUMBER(FIND("04",Criterios!A8,1))),(J20-Y20+K20)/(F20-K20),(I20-Y20+K20)/(F20-K20))</f>
        <v>-1.5873089393237609</v>
      </c>
      <c r="AR20" s="831">
        <f>IF(ISNUMBER((Datos!P20-Datos!Q20+O20)/(Datos!R20-Datos!P20+Datos!Q20-O20)),(Datos!P20-Datos!Q20+O20)/(Datos!R20-Datos!P20+Datos!Q20-O20)," - ")</f>
        <v>3.8453781512605041E-2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705.66666666666663</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1176.6071136959865</v>
      </c>
      <c r="G22" s="551">
        <f>IF(ISNUMBER(STDEV(G8:G19)),STDEV(G8:G19),"-")</f>
        <v>1087.800288043107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662.15940031730383</v>
      </c>
      <c r="AK22" s="251"/>
      <c r="AL22" s="251">
        <f>IF(ISNUMBER(STDEV(AL8:AL19)),STDEV(AL8:AL19),"-")</f>
        <v>0</v>
      </c>
      <c r="AM22" s="253">
        <f>IF(ISNUMBER(STDEV(AM8:AM19)),STDEV(AM8:AM19),"-")</f>
        <v>0</v>
      </c>
      <c r="AN22" s="538">
        <f>IF(ISNUMBER(STDEV(AN8:AN19)),STDEV(AN8:AN19),"-")</f>
        <v>0</v>
      </c>
      <c r="AO22" s="539">
        <f>IF(ISNUMBER(STDEV(AO8:AO19)),STDEV(AO8:AO19),"-")</f>
        <v>3.5982762563109221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O2XStgloyeNlCS8YOfofx6QIAXoVIEICrC9K0kVTGneymKN65eCSnmrdcQ3Dqi/XWe2UdYz2h5rye0Vhy2xNw==" saltValue="q45nEEvvTv2JQM/23KEh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UwWqr5S0qyN3wrPXl3c11lymVKNUqE4fh69cybOXPEUu5X/7jDBrKna4IVA9ZuAD4CbUAxXDnxXXsFnk7Xgkg==" saltValue="wa6lai2f87Ng4rF9zi87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Wx2bhu6w4ObG9Uf5PhASMu/aAz5f6YmHG60ZJdsn3Wmc+qWEw8ng7Esex+tgJNUFtLrPWB+VHWdHwdnT2ckDA==" saltValue="042I9CU6C1gtX48U9Q+Q6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SAN CRISTOBAL DE LA LAGUNA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0.45841844178581848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0.3241507888077228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3CMmBY7PS4bcZl8useo5entdwgrEIvY1hoVt5FjxOIdHRTeZD7r5ML4rJOwepsmrvZLk3ej+z/0FRHhKQbaXg==" saltValue="XYF8vuC0s9HZBUGIhAjpW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qxywJcBmJx3xevUbq2BtvJ5XhKNeFpd2TiPkkh2lXI3oe70TE+7f0Owna4t9ksS+z5/J7rT82oxznlJUvsuLw==" saltValue="c+rA9/HZ8ap4L3GoOt8/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 CRISTOBAL DE LA LAGUNA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7</v>
      </c>
      <c r="C9" s="402">
        <f>IF(ISNUMBER(IF(J_V="SI",Datos!I9,Datos!I9+Datos!Y9)),IF(J_V="SI",Datos!I9,Datos!I9+Datos!Y9)," - ")</f>
        <v>8595</v>
      </c>
      <c r="D9" s="403">
        <f>IF(ISNUMBER(C9/Datos!BH9),C9/Datos!BH9," - ")</f>
        <v>1227.8571428571429</v>
      </c>
      <c r="E9" s="402">
        <f>IF(ISNUMBER(IF(J_V="SI",Datos!J9,Datos!J9+Datos!Z9)),IF(J_V="SI",Datos!J9,Datos!J9+Datos!Z9)," - ")</f>
        <v>3230</v>
      </c>
      <c r="F9" s="403">
        <f>IF(ISNUMBER(E9/B9),E9/B9," - ")</f>
        <v>461.42857142857144</v>
      </c>
      <c r="G9" s="402">
        <f>IF(ISNUMBER(IF(J_V="SI",Datos!K9,Datos!K9+Datos!AA9)),IF(J_V="SI",Datos!K9,Datos!K9+Datos!AA9)," - ")</f>
        <v>3199</v>
      </c>
      <c r="H9" s="403">
        <f>IF(ISNUMBER(G9/B9),G9/B9," - ")</f>
        <v>457</v>
      </c>
      <c r="I9" s="402">
        <f>IF(ISNUMBER(IF(J_V="SI",Datos!L9,Datos!L9+Datos!AB9)),IF(J_V="SI",Datos!L9,Datos!L9+Datos!AB9)," - ")</f>
        <v>8583</v>
      </c>
      <c r="J9" s="403">
        <f>IF(ISNUMBER(I9/B9),I9/B9," - ")</f>
        <v>1226.1428571428571</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606</v>
      </c>
      <c r="D11" s="403">
        <f>IF(ISNUMBER(C11/Datos!BH11),C11/Datos!BH11," - ")</f>
        <v>202</v>
      </c>
      <c r="E11" s="402">
        <f>IF(ISNUMBER(IF(J_V="SI",Datos!J11,Datos!J11+Datos!Z11)),IF(J_V="SI",Datos!J11,Datos!J11+Datos!Z11)," - ")</f>
        <v>306</v>
      </c>
      <c r="F11" s="403">
        <f>IF(ISNUMBER(E11/B11),E11/B11," - ")</f>
        <v>153</v>
      </c>
      <c r="G11" s="402">
        <f>IF(ISNUMBER(IF(J_V="SI",Datos!K11,Datos!K11+Datos!AA11)),IF(J_V="SI",Datos!K11,Datos!K11+Datos!AA11)," - ")</f>
        <v>228</v>
      </c>
      <c r="H11" s="403">
        <f>IF(ISNUMBER(G11/B11),G11/B11," - ")</f>
        <v>114</v>
      </c>
      <c r="I11" s="402">
        <f>IF(ISNUMBER(IF(J_V="SI",Datos!L11,Datos!L11+Datos!AB11)),IF(J_V="SI",Datos!L11,Datos!L11+Datos!AB11)," - ")</f>
        <v>684</v>
      </c>
      <c r="J11" s="403">
        <f>IF(ISNUMBER(I11/B11),I11/B11," - ")</f>
        <v>342</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9203</v>
      </c>
      <c r="D13" s="847" t="str">
        <f>IF(ISNUMBER(C13/Datos!BI13),C13/Datos!BI13," - ")</f>
        <v xml:space="preserve"> - </v>
      </c>
      <c r="E13" s="846">
        <f>SUBTOTAL(9,E8:E12)</f>
        <v>3536</v>
      </c>
      <c r="F13" s="847">
        <f>IF(ISNUMBER(E13/B13),E13/B13," - ")</f>
        <v>392.88888888888891</v>
      </c>
      <c r="G13" s="846">
        <f>SUBTOTAL(9,G8:G12)</f>
        <v>3427</v>
      </c>
      <c r="H13" s="847">
        <f>IF(ISNUMBER(G13/B13),G13/B13," - ")</f>
        <v>380.77777777777777</v>
      </c>
      <c r="I13" s="846">
        <f>SUBTOTAL(9,I8:I12)</f>
        <v>9269</v>
      </c>
      <c r="J13" s="847">
        <f>IF(ISNUMBER(I13/B13),I13/B13," - ")</f>
        <v>1029.8888888888889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2105</v>
      </c>
      <c r="D15" s="403">
        <f>IF(ISNUMBER(C15/Datos!BH15),C15/Datos!BH15," - ")</f>
        <v>526.25</v>
      </c>
      <c r="E15" s="402">
        <f>IF(ISNUMBER(IF(D_I="SI",Datos!J15,Datos!J15+Datos!AD15)),IF(D_I="SI",Datos!J15,Datos!J15+Datos!AD15)," - ")</f>
        <v>3392</v>
      </c>
      <c r="F15" s="403">
        <f>IF(ISNUMBER(E15/B15),E15/B15," - ")</f>
        <v>848</v>
      </c>
      <c r="G15" s="402">
        <f>IF(ISNUMBER(IF(D_I="SI",Datos!K15,Datos!K15+Datos!AE15)),IF(D_I="SI",Datos!K15,Datos!K15+Datos!AE15)," - ")</f>
        <v>3427</v>
      </c>
      <c r="H15" s="403">
        <f>IF(ISNUMBER(G15/B15),G15/B15," - ")</f>
        <v>856.75</v>
      </c>
      <c r="I15" s="402">
        <f>IF(ISNUMBER(IF(D_I="SI",Datos!L15,Datos!L15+Datos!AF15)),IF(D_I="SI",Datos!L15,Datos!L15+Datos!AF15)," - ")</f>
        <v>2113</v>
      </c>
      <c r="J15" s="403">
        <f>IF(ISNUMBER(I15/B15),I15/B15," - ")</f>
        <v>528.25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f>IF(ISNUMBER(IF(D_I="SI",Datos!I17,Datos!I17+Datos!AC17)),IF(D_I="SI",Datos!I17,Datos!I17+Datos!AC17)," - ")</f>
        <v>9</v>
      </c>
      <c r="D17" s="403" t="str">
        <f>IF(ISNUMBER(C17/Datos!BH17),C17/Datos!BH17," - ")</f>
        <v xml:space="preserve"> - </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9</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v>
      </c>
      <c r="D18" s="403">
        <f>IF(ISNUMBER(C18/Datos!BH18),C18/Datos!BH18," - ")</f>
        <v>1</v>
      </c>
      <c r="E18" s="402">
        <f>IF(ISNUMBER(IF(D_I="SI",Datos!J18,Datos!J18+Datos!AD18)),IF(D_I="SI",Datos!J18,Datos!J18+Datos!AD18)," - ")</f>
        <v>0</v>
      </c>
      <c r="F18" s="403">
        <f>IF(ISNUMBER(E18/B18),E18/B18," - ")</f>
        <v>0</v>
      </c>
      <c r="G18" s="402">
        <f>IF(ISNUMBER(IF(D_I="SI",Datos!K18,Datos!K18+Datos!AE18)),IF(D_I="SI",Datos!K18,Datos!K18+Datos!AE18)," - ")</f>
        <v>0</v>
      </c>
      <c r="H18" s="403">
        <f>IF(ISNUMBER(G18/B18),G18/B18," - ")</f>
        <v>0</v>
      </c>
      <c r="I18" s="402">
        <f>IF(ISNUMBER(IF(D_I="SI",Datos!L18,Datos!L18+Datos!AF18)),IF(D_I="SI",Datos!L18,Datos!L18+Datos!AF18)," - ")</f>
        <v>1</v>
      </c>
      <c r="J18" s="403">
        <f>IF(ISNUMBER(I18/B18),I18/B18," - ")</f>
        <v>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2115</v>
      </c>
      <c r="D19" s="847" t="str">
        <f>IF(ISNUMBER(C19/Datos!BI19),C19/Datos!BI19," - ")</f>
        <v xml:space="preserve"> - </v>
      </c>
      <c r="E19" s="846">
        <f>SUBTOTAL(9,E14:E18)</f>
        <v>3392</v>
      </c>
      <c r="F19" s="847">
        <f>IF(ISNUMBER(E19/B19),E19/B19," - ")</f>
        <v>848</v>
      </c>
      <c r="G19" s="846">
        <f>SUBTOTAL(9,G14:G18)</f>
        <v>3427</v>
      </c>
      <c r="H19" s="847">
        <f>IF(ISNUMBER(G19/B19),G19/B19," - ")</f>
        <v>856.75</v>
      </c>
      <c r="I19" s="846">
        <f>SUBTOTAL(9,I14:I18)</f>
        <v>2123</v>
      </c>
      <c r="J19" s="847">
        <f>IF(ISNUMBER(I19/B19),I19/B19," - ")</f>
        <v>530.75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13</v>
      </c>
      <c r="C20" s="791">
        <f>SUBTOTAL(9,C9:C19)</f>
        <v>11318</v>
      </c>
      <c r="D20" s="792" t="str">
        <f>IF(ISNUMBER(C20/Datos!BI20),C20/Datos!BI20," - ")</f>
        <v xml:space="preserve"> - </v>
      </c>
      <c r="E20" s="791">
        <f>SUBTOTAL(9,E9:E19)</f>
        <v>6928</v>
      </c>
      <c r="F20" s="792">
        <f>IF(ISNUMBER(E20/B20),E20/B20," - ")</f>
        <v>532.92307692307691</v>
      </c>
      <c r="G20" s="791">
        <f>SUBTOTAL(9,G9:G19)</f>
        <v>6854</v>
      </c>
      <c r="H20" s="792">
        <f>IF(ISNUMBER(G20/B20),G20/B20," - ")</f>
        <v>527.23076923076928</v>
      </c>
      <c r="I20" s="791">
        <f>SUBTOTAL(9,I9:I19)</f>
        <v>11392</v>
      </c>
      <c r="J20" s="792">
        <f>IF(ISNUMBER(I20/B20),I20/B20," - ")</f>
        <v>876.30769230769226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Cn5LEPgQ+689HvWEDCn2vUNzTHuQwC+nTvhM+x+iwqlFa7ea90Tp3eVFLnLYdvEgwDjNAujSFH25Vp7XFWJ+A==" saltValue="w9Yi3UJB+MY0SCR3t1Gep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 CRISTOBAL DE LA LAGUNA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7</v>
      </c>
      <c r="B9" s="500" t="s">
        <v>247</v>
      </c>
      <c r="C9" s="159" t="str">
        <f>Datos!A9</f>
        <v>Sección Civil del T.I</v>
      </c>
      <c r="D9" s="501"/>
      <c r="E9" s="679">
        <f>IF(ISNUMBER(Datos!AQ9),Datos!AQ9," - ")</f>
        <v>7</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247</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0</v>
      </c>
      <c r="AE13" s="934">
        <f t="shared" si="1"/>
        <v>0</v>
      </c>
      <c r="AF13" s="934">
        <f t="shared" si="1"/>
        <v>2</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f t="shared" si="1"/>
        <v>0</v>
      </c>
      <c r="AP13" s="939">
        <f>IF(ISNUMBER(((Datos!L13/Datos!K13)*11)/factor_trimestre),((Datos!L13/Datos!K13)*11)/factor_trimestre," - ")</f>
        <v>8.2612282309807519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1.8584768018675224</v>
      </c>
      <c r="AQ19" s="939">
        <f>IF(ISNUMBER(((Datos!M19/Datos!L19)*11)/factor_trimestre),((Datos!M19/Datos!L19)*11)/factor_trimestre," - ")</f>
        <v>0.65284974093264259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3.9419087136929459E-2</v>
      </c>
      <c r="AW19" s="941">
        <f>IF(ISNUMBER((Datos!Q19-Datos!R19)/(Datos!S19-Datos!Q19+Datos!R19)),(Datos!Q19-Datos!R19)/(Datos!S19-Datos!Q19+Datos!R19)," - ")</f>
        <v>-0.17900973338975879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0</v>
      </c>
      <c r="AE20" s="952">
        <f t="shared" si="5"/>
        <v>0</v>
      </c>
      <c r="AF20" s="953">
        <f t="shared" si="5"/>
        <v>2</v>
      </c>
      <c r="AG20" s="953">
        <f t="shared" si="5"/>
        <v>0</v>
      </c>
      <c r="AH20" s="953">
        <f t="shared" si="5"/>
        <v>0</v>
      </c>
      <c r="AI20" s="953">
        <f t="shared" si="5"/>
        <v>0</v>
      </c>
      <c r="AJ20" s="954">
        <f t="shared" si="5"/>
        <v>0</v>
      </c>
      <c r="AK20" s="954">
        <f t="shared" si="5"/>
        <v>0</v>
      </c>
      <c r="AL20" s="946">
        <f t="shared" si="5"/>
        <v>0</v>
      </c>
      <c r="AM20" s="946">
        <f t="shared" si="5"/>
        <v>0</v>
      </c>
      <c r="AN20" s="946">
        <f t="shared" si="5"/>
        <v>0</v>
      </c>
      <c r="AO20" s="946">
        <f t="shared" si="5"/>
        <v>0</v>
      </c>
      <c r="AP20" s="946">
        <f>IF(ISNUMBER(((Datos!L20/Datos!K20)*11)/factor_trimestre),((Datos!L20/Datos!K20)*11)/factor_trimestre," - ")</f>
        <v>4.9862686567164181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3.8453781512605041E-2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3.7771241264574122</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0</v>
      </c>
      <c r="AM22" s="733"/>
      <c r="AN22" s="733">
        <f>IF(ISNUMBER(STDEV(AN8:AN19)),STDEV(AN8:AN19),"-")</f>
        <v>0</v>
      </c>
      <c r="AO22" s="739">
        <f>IF(ISNUMBER(STDEV(AO8:AO19)),STDEV(AO8:AO19),"-")</f>
        <v>0</v>
      </c>
      <c r="AP22" s="776">
        <f>IF(ISNUMBER(STDEV(AP8:AP19)),STDEV(AP8:AP19),"-")</f>
        <v>4.5274289537778225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Fz17JmHtJL1vQimevv6RlL2wdiWDdhQleyXHZgCzI/DGKUJUhViUqPS4VRLF0nj18pqlWceG8CQY4nzAGbZsA==" saltValue="k+fQNvarb7K4dIJEdhnU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SAN CRISTOBAL DE LA LAGUNA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7</v>
      </c>
      <c r="B9" s="500" t="s">
        <v>247</v>
      </c>
      <c r="C9" s="159" t="str">
        <f>Datos!A9</f>
        <v>Sección Civil del T.I</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137</v>
      </c>
      <c r="O9" s="333"/>
      <c r="P9" s="333"/>
      <c r="Q9" s="225">
        <f>IF(ISNUMBER(Datos!P9),Datos!P9,0)</f>
        <v>782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233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157</v>
      </c>
      <c r="AI9" s="224" t="str">
        <f>IF(ISNUMBER(Datos!CD9),Datos!CD9,"-")</f>
        <v>-</v>
      </c>
      <c r="AJ9" s="1214" t="str">
        <f>IF(ISNUMBER(Datos!EN9),Datos!EN9," - ")</f>
        <v xml:space="preserve"> - </v>
      </c>
      <c r="AK9" s="333"/>
      <c r="AL9" s="478"/>
      <c r="AM9" s="1214">
        <f>IF(ISNUMBER(Datos!R9),Datos!R9," - ")</f>
        <v>14867</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1495</v>
      </c>
      <c r="BD9" s="228">
        <f>IF(ISNUMBER(Datos!N9),Datos!N9," - ")</f>
        <v>986</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0.99040247678018578</v>
      </c>
      <c r="BH9" s="1214">
        <f>IF(ISNUMBER(((IF(J_V="SI",Datos!L9/Datos!K9,(Datos!L9+Datos!AB9)/(Datos!K9+Datos!AA9)))*11)/factor_trimestre),((IF(J_V="SI",Datos!L9/Datos!K9,(Datos!L9+Datos!AB9)/(Datos!K9+Datos!AA9)))*11)/factor_trimestre," - ")</f>
        <v>8.0490778368240079</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3.8343344042464034E-2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1095.5177445751856</v>
      </c>
      <c r="CF9" s="228">
        <f ca="1">AVERAGEIFS($AB:$AB,$BW:$BW,BW9,$BX:$BX,BX9)</f>
        <v>1095.5177445751856</v>
      </c>
      <c r="CG9" s="1191">
        <v>0.7</v>
      </c>
      <c r="CH9" s="1191">
        <f ca="1">AVERAGEIF($BW:$BW,$BW9,$AC:$AC)</f>
        <v>77.75</v>
      </c>
      <c r="CI9" s="228">
        <f ca="1">AVERAGEIFS($AC:$AC,$BW:$BW,$BW9,$BX:$BX,$BX9)</f>
        <v>77.75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637.5</v>
      </c>
      <c r="CR9" s="228">
        <f ca="1">AVERAGEIFS($AF:$AF,$BW:$BW,BW9,$BX:$BX,BX9)</f>
        <v>637.5</v>
      </c>
      <c r="CS9" s="1191">
        <v>1.3</v>
      </c>
      <c r="CT9" s="1191">
        <v>1.5</v>
      </c>
      <c r="CU9" s="1191">
        <f ca="1">AVERAGEIF($BW:$BW,$BW9,$AH:$AH)</f>
        <v>96</v>
      </c>
      <c r="CV9" s="228">
        <f ca="1">AVERAGEIFS($AH:$AH,$BW:$BW,$BW9,$BX:$BX,$BX9)</f>
        <v>96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3861.75</v>
      </c>
      <c r="DH9" s="1218">
        <f ca="1">AVERAGEIFS($AM:$AM,$BW:$BW,$BW9,$BX:$BX,$BX9)</f>
        <v>3861.75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3.762748815335764</v>
      </c>
      <c r="ER9" s="1218">
        <f ca="1">AVERAGEIFS($BH:$BH,$BW:$BW,$BW9,$BX:$BX,$BX9)</f>
        <v>3.762748815335764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v>
      </c>
      <c r="AG10" s="333"/>
      <c r="AH10" s="224"/>
      <c r="AI10" s="224"/>
      <c r="AJ10" s="1214"/>
      <c r="AK10" s="333"/>
      <c r="AL10" s="478"/>
      <c r="AM10" s="1214">
        <f>IF(ISNUMBER(Datos!R10),Datos!R10," - ")</f>
        <v>66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1095.5177445751856</v>
      </c>
      <c r="CF10" s="228">
        <f ca="1">AVERAGEIFS($AB:$AB,$BW:$BW,BW10,$BX:$BX,BX10)</f>
        <v>1095.5177445751856</v>
      </c>
      <c r="CG10" s="1191">
        <v>0.7</v>
      </c>
      <c r="CH10" s="1191">
        <f ca="1">AVERAGEIF($BW:$BW,BW10,$AC:$AC)</f>
        <v>77.75</v>
      </c>
      <c r="CI10" s="228">
        <f ca="1">AVERAGEIFS($AC:$AC,$BW:$BW,BW10,$BX:$BX,BX10)</f>
        <v>77.75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637.5</v>
      </c>
      <c r="CR10" s="228">
        <f ca="1">AVERAGEIFS($AF:$AF,$BW:$BW,BW10,$BX:$BX,BX10)</f>
        <v>637.5</v>
      </c>
      <c r="CS10" s="1191">
        <v>1.3</v>
      </c>
      <c r="CT10" s="1191">
        <v>1.5</v>
      </c>
      <c r="CU10" s="1191">
        <f ca="1">AVERAGEIF($BW:$BW,$BW10,$AH:$AH)</f>
        <v>96</v>
      </c>
      <c r="CV10" s="228">
        <f ca="1">AVERAGEIFS($AH:$AH,$BW:$BW,$BW10,$BX:$BX,$BX10)</f>
        <v>96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3861.75</v>
      </c>
      <c r="DH10" s="1218">
        <f ca="1">AVERAGEIFS($AM:$AM,$BW:$BW,$BW10,$BX:$BX,$BX10)</f>
        <v>3861.75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3.762748815335764</v>
      </c>
      <c r="ER10" s="1218">
        <f ca="1">AVERAGEIFS($BH:$BH,$BW:$BW,$BW10,$BX:$BX,$BX10)</f>
        <v>3.762748815335764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247</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55</v>
      </c>
      <c r="O11" s="333"/>
      <c r="P11" s="333"/>
      <c r="Q11" s="225">
        <f>IF(ISNUMBER(Datos!P11),Datos!P11,0)</f>
        <v>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0</v>
      </c>
      <c r="AD11" s="224"/>
      <c r="AE11" s="224"/>
      <c r="AF11" s="224" t="str">
        <f>IF(ISNUMBER(IF(J_V="SI",Datos!L11,Datos!L11+Datos!AB11)-IF(Monitorios="SI",Datos!CD11,0)),
                          IF(J_V="SI",Datos!L11,Datos!L11+Datos!AB11)-IF(Monitorios="SI",Datos!CD11,0),
                          " - ")</f>
        <v xml:space="preserve"> - </v>
      </c>
      <c r="AG11" s="333"/>
      <c r="AH11" s="224">
        <f>IF(ISNUMBER(Datos!AB11),Datos!AB11,"-")</f>
        <v>99</v>
      </c>
      <c r="AI11" s="224"/>
      <c r="AJ11" s="1214"/>
      <c r="AK11" s="333"/>
      <c r="AL11" s="478"/>
      <c r="AM11" s="1214">
        <f>IF(ISNUMBER(Datos!R11),Datos!R11," - ")</f>
        <v>13</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76</v>
      </c>
      <c r="BD11" s="228">
        <f>IF(ISNUMBER(Datos!N11),Datos!N11," - ")</f>
        <v>99</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0.74509803921568629</v>
      </c>
      <c r="BH11" s="1214">
        <f>IF(ISNUMBER(((IF(J_V="SI",Datos!L11/Datos!K11,(Datos!L11+Datos!AB11)/(Datos!K11+Datos!AA11)))*11)/factor_trimestre),((IF(J_V="SI",Datos!L11/Datos!K11,(Datos!L11+Datos!AB11)/(Datos!K11+Datos!AA11)))*11)/factor_trimestre," - ")</f>
        <v>9</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0.44444444444444442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1095.5177445751856</v>
      </c>
      <c r="CF11" s="228">
        <f ca="1">AVERAGEIFS($AB:$AB,$BW:$BW,BW11,$BX:$BX,BX11)</f>
        <v>1095.5177445751856</v>
      </c>
      <c r="CG11" s="1191">
        <v>0.7</v>
      </c>
      <c r="CH11" s="1191">
        <f ca="1">AVERAGEIF($BW:$BW,BW11,$AC:$AC)</f>
        <v>77.75</v>
      </c>
      <c r="CI11" s="228">
        <f ca="1">AVERAGEIFS($AC:$AC,$BW:$BW,BW11,$BX:$BX,BX11)</f>
        <v>77.75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637.5</v>
      </c>
      <c r="CR11" s="228">
        <f ca="1">AVERAGEIFS($AF:$AF,$BW:$BW,BW11,$BX:$BX,BX11)</f>
        <v>637.5</v>
      </c>
      <c r="CS11" s="1191">
        <v>1.3</v>
      </c>
      <c r="CT11" s="1191">
        <v>1.5</v>
      </c>
      <c r="CU11" s="1191">
        <f ca="1">AVERAGEIF($BW:$BW,$BW11,$AH:$AH)</f>
        <v>96</v>
      </c>
      <c r="CV11" s="228">
        <f ca="1">AVERAGEIFS($AH:$AH,$BW:$BW,$BW11,$BX:$BX,$BX11)</f>
        <v>96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3861.75</v>
      </c>
      <c r="DH11" s="1218">
        <f ca="1">AVERAGEIFS($AM:$AM,$BW:$BW,$BW11,$BX:$BX,$BX11)</f>
        <v>3861.75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3.762748815335764</v>
      </c>
      <c r="ER11" s="1218">
        <f ca="1">AVERAGEIFS($BH:$BH,$BW:$BW,$BW11,$BX:$BX,$BX11)</f>
        <v>3.762748815335764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1095.5177445751856</v>
      </c>
      <c r="CF12" s="228">
        <f ca="1">AVERAGEIFS($AB:$AB,$BW:$BW,BW12,$BX:$BX,BX12)</f>
        <v>1095.5177445751856</v>
      </c>
      <c r="CG12" s="1191">
        <v>0.7</v>
      </c>
      <c r="CH12" s="1191">
        <f ca="1">AVERAGEIF($BW:$BW,BW12,$AC:$AC)</f>
        <v>77.75</v>
      </c>
      <c r="CI12" s="228">
        <f ca="1">AVERAGEIFS($AC:$AC,$BW:$BW,BW12,$BX:$BX,BX12)</f>
        <v>77.75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637.5</v>
      </c>
      <c r="CR12" s="228">
        <f ca="1">AVERAGEIFS($AF:$AF,$BW:$BW,BW12,$BX:$BX,BX12)</f>
        <v>637.5</v>
      </c>
      <c r="CS12" s="1191">
        <v>1.3</v>
      </c>
      <c r="CT12" s="1191">
        <v>1.5</v>
      </c>
      <c r="CU12" s="1191">
        <f ca="1">AVERAGEIF($BW:$BW,$BW12,$AH:$AH)</f>
        <v>96</v>
      </c>
      <c r="CV12" s="228">
        <f ca="1">AVERAGEIFS($AH:$AH,$BW:$BW,$BW12,$BX:$BX,$BX12)</f>
        <v>96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3861.75</v>
      </c>
      <c r="DH12" s="1218">
        <f ca="1">AVERAGEIFS($AM:$AM,$BW:$BW,$BW12,$BX:$BX,$BX12)</f>
        <v>3861.75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3.762748815335764</v>
      </c>
      <c r="ER12" s="1218">
        <f ca="1">AVERAGEIFS($BH:$BH,$BW:$BW,$BW12,$BX:$BX,$BX12)</f>
        <v>3.762748815335764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192</v>
      </c>
      <c r="O13" s="897">
        <f t="shared" si="1"/>
        <v>0</v>
      </c>
      <c r="P13" s="897">
        <f t="shared" si="1"/>
        <v>0</v>
      </c>
      <c r="Q13" s="896">
        <f t="shared" si="1"/>
        <v>786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233</v>
      </c>
      <c r="AD13" s="896">
        <f t="shared" si="2"/>
        <v>0</v>
      </c>
      <c r="AE13" s="896">
        <f t="shared" si="2"/>
        <v>0</v>
      </c>
      <c r="AF13" s="896">
        <f t="shared" si="2"/>
        <v>2</v>
      </c>
      <c r="AG13" s="896">
        <f t="shared" si="2"/>
        <v>0</v>
      </c>
      <c r="AH13" s="896">
        <f t="shared" si="2"/>
        <v>256</v>
      </c>
      <c r="AI13" s="896">
        <f t="shared" si="2"/>
        <v>0</v>
      </c>
      <c r="AJ13" s="896">
        <f t="shared" si="2"/>
        <v>0</v>
      </c>
      <c r="AK13" s="896">
        <f t="shared" si="2"/>
        <v>0</v>
      </c>
      <c r="AL13" s="896">
        <f t="shared" si="2"/>
        <v>0</v>
      </c>
      <c r="AM13" s="896">
        <f t="shared" si="2"/>
        <v>14946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1571</v>
      </c>
      <c r="BD13" s="896">
        <f t="shared" si="2"/>
        <v>1085</v>
      </c>
      <c r="BE13" s="896">
        <f t="shared" si="2"/>
        <v>0</v>
      </c>
      <c r="BF13" s="896">
        <f t="shared" si="2"/>
        <v>0</v>
      </c>
      <c r="BG13" s="896">
        <f>IF(ISNUMBER(Datos!K13/Datos!J13),Datos!K13/Datos!J13," - ")</f>
        <v>0.97876794258373201</v>
      </c>
      <c r="BH13" s="900">
        <f>IF(ISNUMBER(((Datos!L13/Datos!K13)*11)/factor_trimestre),((Datos!L13/Datos!K13)*11)/factor_trimestre," - ")</f>
        <v>8.2612282309807519</v>
      </c>
      <c r="BI13" s="896">
        <f>IF(ISNUMBER('Resol  Asuntos'!D13/NºAsuntos!G13),'Resol  Asuntos'!D13/NºAsuntos!G13," - ")</f>
        <v>0.45841844178581848</v>
      </c>
      <c r="BJ13" s="896" t="str">
        <f>IF(ISNUMBER(Datos!CI13/Datos!CJ13),Datos!CI13/Datos!CJ13," - ")</f>
        <v xml:space="preserve"> - </v>
      </c>
      <c r="BK13" s="896">
        <f>SUBTOTAL(9,BK8:BK12)</f>
        <v>0</v>
      </c>
      <c r="BL13" s="896">
        <f>IF(ISNUMBER((I13-AB13+L13)/(F13)),(I13-AB13+L13)/(F13)," - ")</f>
        <v>0</v>
      </c>
      <c r="BM13" s="901">
        <f>SUBTOTAL(9,BM9:BM12)</f>
        <v>0.48278778848690845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2148</v>
      </c>
      <c r="G15" s="596">
        <f>IF(ISNUMBER(IF(D_I="SI",Datos!I15,Datos!I15+Datos!AC15)),IF(D_I="SI",Datos!I15,Datos!I15+Datos!AC15)," - ")</f>
        <v>2105</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97</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3427</v>
      </c>
      <c r="AC15" s="224">
        <f>IF(ISNUMBER(Datos!Q15),Datos!Q15," - ")</f>
        <v>78</v>
      </c>
      <c r="AD15" s="224"/>
      <c r="AE15" s="224"/>
      <c r="AF15" s="224">
        <f>IF(ISNUMBER(IF(D_I="SI",Datos!L15,Datos!L15+Datos!AF15)),IF(D_I="SI",Datos!L15,Datos!L15+Datos!AF15)," - ")</f>
        <v>2113</v>
      </c>
      <c r="AG15" s="333"/>
      <c r="AH15" s="224"/>
      <c r="AI15" s="224"/>
      <c r="AJ15" s="1214"/>
      <c r="AK15" s="333"/>
      <c r="AL15" s="478"/>
      <c r="AM15" s="1214">
        <f>IF(ISNUMBER(Datos!R15),Datos!R15," - ")</f>
        <v>501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462</v>
      </c>
      <c r="BD15" s="228">
        <f>IF(ISNUMBER(Datos!N15),Datos!N15," - ")</f>
        <v>2193</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1.0103183962264151</v>
      </c>
      <c r="BH15" s="1214">
        <f>IF(ISNUMBER(((IF(D_I="SI",Datos!L15/Datos!K15,(Datos!L15+Datos!AF15)/(Datos!K15+Datos!AE15)))*11)/factor_trimestre),((IF(D_I="SI",Datos!L15/Datos!K15,(Datos!L15+Datos!AF15)/(Datos!K15+Datos!AE15)))*11)/factor_trimestre," - ")</f>
        <v>1.8497227896119055</v>
      </c>
      <c r="BI15" s="242">
        <f>IF(ISNUMBER('Resol  Asuntos'!D15/NºAsuntos!G15),'Resol  Asuntos'!D15/NºAsuntos!G15," - ")</f>
        <v>0.13481178873650423</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1095.5177445751856</v>
      </c>
      <c r="CF15" s="228">
        <f ca="1">AVERAGEIFS($AB:$AB,$BW:$BW,BW15,$BX:$BX,BX15)</f>
        <v>1095.5177445751856</v>
      </c>
      <c r="CG15" s="1191">
        <v>0.7</v>
      </c>
      <c r="CH15" s="1191">
        <f ca="1">AVERAGEIF($BW:$BW,BW15,$AC:$AC)</f>
        <v>77.75</v>
      </c>
      <c r="CI15" s="228">
        <f ca="1">AVERAGEIFS($AC:$AC,$BW:$BW,BW15,$BX:$BX,BX15)</f>
        <v>77.75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637.5</v>
      </c>
      <c r="CR15" s="228">
        <f ca="1">AVERAGEIFS($AF:$AF,$BW:$BW,BW15,$BX:$BX,BX15)</f>
        <v>637.5</v>
      </c>
      <c r="CS15" s="1191">
        <v>1.3</v>
      </c>
      <c r="CT15" s="1191">
        <v>1.5</v>
      </c>
      <c r="CU15" s="1191">
        <f ca="1">AVERAGEIF($BW:$BW,$BW15,$AH:$AH)</f>
        <v>96</v>
      </c>
      <c r="CV15" s="228">
        <f ca="1">AVERAGEIFS($AH:$AH,$BW:$BW,$BW15,$BX:$BX,$BX15)</f>
        <v>96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3861.75</v>
      </c>
      <c r="DH15" s="1218">
        <f ca="1">AVERAGEIFS($AM:$AM,$BW:$BW,$BW15,$BX:$BX,$BX15)</f>
        <v>3861.75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3.762748815335764</v>
      </c>
      <c r="ER15" s="1218">
        <f ca="1">AVERAGEIFS($BH:$BH,$BW:$BW,$BW15,$BX:$BX,$BX15)</f>
        <v>3.762748815335764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1095.5177445751856</v>
      </c>
      <c r="CF16" s="1218">
        <f ca="1">AVERAGEIFS($AB:$AB,$BW:$BW,BW16,$BX:$BX,BX16)</f>
        <v>1095.5177445751856</v>
      </c>
      <c r="CG16" s="1191">
        <v>0.7</v>
      </c>
      <c r="CH16" s="1191">
        <f ca="1">AVERAGEIF($BW:$BW,BW16,$AC:$AC)</f>
        <v>77.75</v>
      </c>
      <c r="CI16" s="1218">
        <f ca="1">AVERAGEIFS($AC:$AC,$BW:$BW,BW16,$BX:$BX,BX16)</f>
        <v>77.75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637.5</v>
      </c>
      <c r="CR16" s="1218">
        <f ca="1">AVERAGEIFS($AF:$AF,$BW:$BW,BW16,$BX:$BX,BX16)</f>
        <v>637.5</v>
      </c>
      <c r="CS16" s="1191">
        <v>1.3</v>
      </c>
      <c r="CT16" s="1191">
        <v>1.5</v>
      </c>
      <c r="CU16" s="1191">
        <f ca="1">AVERAGEIF($BW:$BW,$BW16,$AH:$AH)</f>
        <v>96</v>
      </c>
      <c r="CV16" s="1218">
        <f ca="1">AVERAGEIFS($AH:$AH,$BW:$BW,$BW16,$BX:$BX,$BX16)</f>
        <v>96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3861.75</v>
      </c>
      <c r="DH16" s="1218">
        <f ca="1">AVERAGEIFS($AM:$AM,$BW:$BW,$BW16,$BX:$BX,$BX16)</f>
        <v>3861.75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3.762748815335764</v>
      </c>
      <c r="ER16" s="1218">
        <f ca="1">AVERAGEIFS($BH:$BH,$BW:$BW,$BW16,$BX:$BX,$BX16)</f>
        <v>3.762748815335764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f>IF(ISNUMBER(AF17+AB17-Datos!J17-L17),AF17+AB17-Datos!J17-L17," - ")</f>
        <v>9</v>
      </c>
      <c r="G17" s="596">
        <f>IF(ISNUMBER(IF(D_I="SI",Datos!I17,Datos!I17+Datos!AC17)),IF(D_I="SI",Datos!I17,Datos!I17+Datos!AC17)," - ")</f>
        <v>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0</v>
      </c>
      <c r="AC17" s="224">
        <f>IF(ISNUMBER(Datos!Q17),Datos!Q17," - ")</f>
        <v>0</v>
      </c>
      <c r="AD17" s="224"/>
      <c r="AE17" s="224"/>
      <c r="AF17" s="224">
        <f>IF(ISNUMBER(IF(D_I="SI",Datos!L17,Datos!L17+Datos!AF17)),IF(D_I="SI",Datos!L17,Datos!L17+Datos!AF17)," - ")</f>
        <v>9</v>
      </c>
      <c r="AG17" s="333"/>
      <c r="AH17" s="224"/>
      <c r="AI17" s="224"/>
      <c r="AJ17" s="1214"/>
      <c r="AK17" s="333"/>
      <c r="AL17" s="478"/>
      <c r="AM17" s="1214">
        <f>IF(ISNUMBER(Datos!R17),Datos!R17," - ")</f>
        <v>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0</v>
      </c>
      <c r="BD17" s="228">
        <f>IF(ISNUMBER(Datos!N17),Datos!N17," - ")</f>
        <v>0</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1095.5177445751856</v>
      </c>
      <c r="CF17" s="228">
        <f ca="1">AVERAGEIFS($AB:$AB,$BW:$BW,BW17,$BX:$BX,BX17)</f>
        <v>1095.5177445751856</v>
      </c>
      <c r="CG17" s="1191">
        <v>0.7</v>
      </c>
      <c r="CH17" s="1191">
        <f ca="1">AVERAGEIF($BW:$BW,BW17,$AC:$AC)</f>
        <v>77.75</v>
      </c>
      <c r="CI17" s="228">
        <f ca="1">AVERAGEIFS($AC:$AC,$BW:$BW,BW17,$BX:$BX,BX17)</f>
        <v>77.75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637.5</v>
      </c>
      <c r="CR17" s="228">
        <f ca="1">AVERAGEIFS($AF:$AF,$BW:$BW,BW17,$BX:$BX,BX17)</f>
        <v>637.5</v>
      </c>
      <c r="CS17" s="1191">
        <v>1.3</v>
      </c>
      <c r="CT17" s="1191">
        <v>1.5</v>
      </c>
      <c r="CU17" s="1191">
        <f ca="1">AVERAGEIF($BW:$BW,$BW17,$AH:$AH)</f>
        <v>96</v>
      </c>
      <c r="CV17" s="228">
        <f ca="1">AVERAGEIFS($AH:$AH,$BW:$BW,$BW17,$BX:$BX,$BX17)</f>
        <v>96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3861.75</v>
      </c>
      <c r="DH17" s="1218">
        <f ca="1">AVERAGEIFS($AM:$AM,$BW:$BW,$BW17,$BX:$BX,$BX17)</f>
        <v>3861.75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3.762748815335764</v>
      </c>
      <c r="ER17" s="1218">
        <f ca="1">AVERAGEIFS($BH:$BH,$BW:$BW,$BW17,$BX:$BX,$BX17)</f>
        <v>3.762748815335764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1095.5177445751856</v>
      </c>
      <c r="CF18" s="228">
        <f ca="1">AVERAGEIFS($AB:$AB,$BW:$BW,BW18,$BX:$BX,BX18)</f>
        <v>1095.5177445751856</v>
      </c>
      <c r="CG18" s="1191">
        <v>0.7</v>
      </c>
      <c r="CH18" s="1191">
        <f ca="1">AVERAGEIF($BW:$BW,BW18,$AC:$AC)</f>
        <v>77.75</v>
      </c>
      <c r="CI18" s="228">
        <f ca="1">AVERAGEIFS($AC:$AC,$BW:$BW,BW18,$BX:$BX,BX18)</f>
        <v>77.75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637.5</v>
      </c>
      <c r="CR18" s="228">
        <f ca="1">AVERAGEIFS($AF:$AF,$BW:$BW,BW18,$BX:$BX,BX18)</f>
        <v>637.5</v>
      </c>
      <c r="CS18" s="1191">
        <v>1.3</v>
      </c>
      <c r="CT18" s="1191">
        <v>1.5</v>
      </c>
      <c r="CU18" s="1191">
        <f ca="1">AVERAGEIF($BW:$BW,$BW18,$AH:$AH)</f>
        <v>96</v>
      </c>
      <c r="CV18" s="228">
        <f ca="1">AVERAGEIFS($AH:$AH,$BW:$BW,$BW18,$BX:$BX,$BX18)</f>
        <v>96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3861.75</v>
      </c>
      <c r="DH18" s="1218">
        <f ca="1">AVERAGEIFS($AM:$AM,$BW:$BW,$BW18,$BX:$BX,$BX18)</f>
        <v>3861.75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3.762748815335764</v>
      </c>
      <c r="ER18" s="1218">
        <f ca="1">AVERAGEIFS($BH:$BH,$BW:$BW,$BW18,$BX:$BX,$BX18)</f>
        <v>3.762748815335764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2157</v>
      </c>
      <c r="G19" s="895">
        <f>SUBTOTAL(9,G15:G18)</f>
        <v>2115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3427</v>
      </c>
      <c r="AC19" s="896">
        <f t="shared" si="5"/>
        <v>78</v>
      </c>
      <c r="AD19" s="896">
        <f t="shared" si="5"/>
        <v>0</v>
      </c>
      <c r="AE19" s="896">
        <f t="shared" si="5"/>
        <v>0</v>
      </c>
      <c r="AF19" s="896">
        <f t="shared" si="5"/>
        <v>2123</v>
      </c>
      <c r="AG19" s="896">
        <f t="shared" si="5"/>
        <v>0</v>
      </c>
      <c r="AH19" s="896">
        <f t="shared" si="5"/>
        <v>0</v>
      </c>
      <c r="AI19" s="896">
        <f t="shared" si="5"/>
        <v>0</v>
      </c>
      <c r="AJ19" s="896">
        <f t="shared" si="5"/>
        <v>0</v>
      </c>
      <c r="AK19" s="896">
        <f t="shared" si="5"/>
        <v>0</v>
      </c>
      <c r="AL19" s="896">
        <f t="shared" si="5"/>
        <v>0</v>
      </c>
      <c r="AM19" s="896">
        <f t="shared" si="5"/>
        <v>501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462</v>
      </c>
      <c r="BD19" s="896">
        <f t="shared" si="5"/>
        <v>2193</v>
      </c>
      <c r="BE19" s="896">
        <f t="shared" si="5"/>
        <v>0</v>
      </c>
      <c r="BF19" s="896">
        <f t="shared" si="5"/>
        <v>0</v>
      </c>
      <c r="BG19" s="896">
        <f>IF(ISNUMBER(Datos!K19/Datos!J19),Datos!K19/Datos!J19," - ")</f>
        <v>1.0103183962264151</v>
      </c>
      <c r="BH19" s="900">
        <f>IF(ISNUMBER(((Datos!L19/Datos!K19)*11)/factor_trimestre),((Datos!L19/Datos!K19)*11)/factor_trimestre," - ")</f>
        <v>1.8584768018675224</v>
      </c>
      <c r="BI19" s="896">
        <f>SUBTOTAL(9,BI15:BI18)</f>
        <v>0.13481178873650423</v>
      </c>
      <c r="BJ19" s="896">
        <f>SUBTOTAL(9,BJ15:BJ18)</f>
        <v>0</v>
      </c>
      <c r="BK19" s="896">
        <f>SUBTOTAL(9,BK15:BK18)</f>
        <v>0</v>
      </c>
      <c r="BL19" s="896">
        <f>IF(ISNUMBER((I19-AB19+L19)/(F19)),(I19-AB19+L19)/(F19)," - ")</f>
        <v>-1.5887807139545664</v>
      </c>
      <c r="BM19" s="902">
        <f>IF(ISNUMBER((Datos!P19-Datos!Q19)/(Datos!R19-Datos!P19+Datos!Q19)),(Datos!P19-Datos!Q19)/(Datos!R19-Datos!P19+Datos!Q19)," - ")</f>
        <v>3.9419087136929459E-2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2159</v>
      </c>
      <c r="G20" s="817">
        <f t="shared" si="7"/>
        <v>2117</v>
      </c>
      <c r="H20" s="819">
        <f t="shared" si="7"/>
        <v>0</v>
      </c>
      <c r="I20" s="817">
        <f t="shared" si="7"/>
        <v>0</v>
      </c>
      <c r="J20" s="819">
        <f t="shared" si="7"/>
        <v>0</v>
      </c>
      <c r="K20" s="819">
        <f t="shared" si="7"/>
        <v>0</v>
      </c>
      <c r="L20" s="878">
        <f t="shared" si="7"/>
        <v>0</v>
      </c>
      <c r="M20" s="878">
        <f t="shared" si="7"/>
        <v>0</v>
      </c>
      <c r="N20" s="878">
        <f t="shared" si="7"/>
        <v>192</v>
      </c>
      <c r="O20" s="878">
        <f t="shared" si="7"/>
        <v>0</v>
      </c>
      <c r="P20" s="878">
        <f t="shared" si="7"/>
        <v>0</v>
      </c>
      <c r="Q20" s="819">
        <f t="shared" si="7"/>
        <v>883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3427</v>
      </c>
      <c r="AC20" s="818">
        <f t="shared" si="8"/>
        <v>311</v>
      </c>
      <c r="AD20" s="818">
        <f t="shared" si="8"/>
        <v>0</v>
      </c>
      <c r="AE20" s="818">
        <f t="shared" si="8"/>
        <v>0</v>
      </c>
      <c r="AF20" s="825">
        <f t="shared" si="8"/>
        <v>2125</v>
      </c>
      <c r="AG20" s="825">
        <f t="shared" si="8"/>
        <v>0</v>
      </c>
      <c r="AH20" s="825">
        <f t="shared" si="8"/>
        <v>256</v>
      </c>
      <c r="AI20" s="825">
        <f t="shared" si="8"/>
        <v>0</v>
      </c>
      <c r="AJ20" s="818">
        <f t="shared" si="8"/>
        <v>0</v>
      </c>
      <c r="AK20" s="825">
        <f t="shared" si="8"/>
        <v>0</v>
      </c>
      <c r="AL20" s="825">
        <f t="shared" si="8"/>
        <v>0</v>
      </c>
      <c r="AM20" s="825">
        <f t="shared" si="8"/>
        <v>15447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2033</v>
      </c>
      <c r="BD20" s="817">
        <f t="shared" si="8"/>
        <v>3278</v>
      </c>
      <c r="BE20" s="817">
        <f t="shared" si="8"/>
        <v>0</v>
      </c>
      <c r="BF20" s="827">
        <f t="shared" si="8"/>
        <v>0</v>
      </c>
      <c r="BG20" s="912">
        <f>IF(ISNUMBER(Datos!K20/Datos!J20),Datos!K20/Datos!J20," - ")</f>
        <v>0.99465558194774351</v>
      </c>
      <c r="BH20" s="912">
        <f>IF(ISNUMBER(((Datos!L20/Datos!K20)*11)/factor_trimestre),((Datos!L20/Datos!K20)*11)/factor_trimestre," - ")</f>
        <v>4.9862686567164181</v>
      </c>
      <c r="BI20" s="810">
        <f>IF(ISNUMBER(Datos!J20/Datos!I20),Datos!J20/Datos!I20," - ")</f>
        <v>0.60684684684684687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-1.5873089393237609</v>
      </c>
      <c r="BM20" s="886">
        <f>IF(ISNUMBER((Datos!P20-Datos!Q20+R20)/(Datos!R20-Datos!P20+Datos!Q20-R20)),(Datos!P20-Datos!Q20+R20)/(Datos!R20-Datos!P20+Datos!Q20-R20)," - ")</f>
        <v>3.8453781512605041E-2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705.66666666666663</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3.1340424729448424</v>
      </c>
      <c r="F22" s="550">
        <f>IF(ISNUMBER(STDEV(F8:F19)),STDEV(F8:F19),"-")</f>
        <v>1176.6071136959865</v>
      </c>
      <c r="G22" s="551">
        <f>IF(ISNUMBER(STDEV(G8:G19)),STDEV(G8:G19),"-")</f>
        <v>1087.800288043107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1769.6951903270424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662.15940031730383</v>
      </c>
      <c r="BD22" s="550"/>
      <c r="BE22" s="550">
        <f>IF(ISNUMBER(STDEV(BE8:BE19)),STDEV(BE8:BE19),"-")</f>
        <v>0</v>
      </c>
      <c r="BF22" s="555">
        <f>IF(ISNUMBER(STDEV(BF8:BF19)),STDEV(BF8:BF19),"-")</f>
        <v>0</v>
      </c>
      <c r="BG22" s="772">
        <f>IF(ISNUMBER(STDEV(BG8:BG19)),STDEV(BG8:BG19),"-")</f>
        <v>0.11366157633640452</v>
      </c>
      <c r="BH22" s="773">
        <f>IF(ISNUMBER(STDEV(BH8:BH19)),STDEV(BH8:BH19),"-")</f>
        <v>3.622713837357034</v>
      </c>
      <c r="BI22" s="248">
        <f>IF(ISNUMBER(STDEV(BI8:BI19)),STDEV(BI8:BI19),"-")</f>
        <v>0.18683438824957543</v>
      </c>
      <c r="BJ22" s="1415" t="str">
        <f>IF(ISNUMBER(BL22/BM22),BL22/BM22," - ")</f>
        <v xml:space="preserve"> - </v>
      </c>
      <c r="BK22" s="574"/>
      <c r="BL22" s="558">
        <f>IF(ISNUMBER(STDEV(BL8:BL19)),STDEV(BL8:BL19),"-")</f>
        <v>1.1234376166556783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I18Z/z8Dkq842ggC+fDCVi1VkfVgYFad5E6loG4lUs4d990i2o5rXRnN0GEsUFu///ByVY2j2KcLshNEGWtKQ==" saltValue="n7/8pT749O/WXzShbCfZ6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SAN CRISTOBAL DE LA LAGUNA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0.45841844178581848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0.3241507888077228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x4umzyPSYPzy8R/qNFPkbz5g+xnEt15f+Ay0rr7S8NFY5eGI9Gh/uygvu58ZvE80tUAiLQJXWPiqSdAlPAVqw==" saltValue="LKbBhOO85GisAJrDceI5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SAN CRISTOBAL DE LA LAGUNA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bKSZ0vfxPnWiDr6F5aYbqUk4sNrAXyPFF8eoAG60geMDt4lqyUZQEr73EHczu5mUzyk6v+Ew7pZPyonzlY3nA==" saltValue="HrFZbgZ7qFeWRC9o3WWJe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SAN CRISTOBAL DE LA LAGUNA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i4sTeHZ8RpA4QGFUN85/Xmz44DVDiauE0FQr4gj0h9OtLC6X0rUbtinrHqphWtM0aSovp+pZ9mN/ywkX8MK0A==" saltValue="6gHx4So0osudSA0HpQRSA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 CRISTOBAL DE LA LAGUNA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7</v>
      </c>
      <c r="C9" s="409">
        <f>Datos!AQ9</f>
        <v>7</v>
      </c>
      <c r="D9" s="402">
        <f>IF(ISNUMBER(Datos!M9),Datos!M9," - ")</f>
        <v>1495</v>
      </c>
      <c r="E9" s="403">
        <f t="shared" ref="E9:E13" si="0">IF(ISNUMBER(D9/B9),D9/B9," - ")</f>
        <v>213.57142857142858</v>
      </c>
      <c r="F9" s="402">
        <f>IF(ISNUMBER(Datos!N9),Datos!N9," - ")</f>
        <v>986</v>
      </c>
      <c r="G9" s="403">
        <f t="shared" ref="G9:G13" si="1">IF(ISNUMBER(F9/B9),F9/B9," - ")</f>
        <v>140.85714285714286</v>
      </c>
      <c r="H9" s="402">
        <f>IF(ISNUMBER(Datos!O9),Datos!O9," - ")</f>
        <v>588</v>
      </c>
      <c r="I9" s="403">
        <f>IF(ISNUMBER(H9/B9),H9/B9," - ")</f>
        <v>84</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2</v>
      </c>
      <c r="C11" s="409">
        <f>Datos!AQ11</f>
        <v>1</v>
      </c>
      <c r="D11" s="402">
        <f>IF(ISNUMBER(Datos!M11),Datos!M11," - ")</f>
        <v>76</v>
      </c>
      <c r="E11" s="403">
        <f t="shared" si="0"/>
        <v>38</v>
      </c>
      <c r="F11" s="402">
        <f>IF(ISNUMBER(Datos!N11),Datos!N11," - ")</f>
        <v>99</v>
      </c>
      <c r="G11" s="403">
        <f t="shared" si="1"/>
        <v>49.5</v>
      </c>
      <c r="H11" s="402">
        <f>IF(ISNUMBER(Datos!O11),Datos!O11," - ")</f>
        <v>4</v>
      </c>
      <c r="I11" s="403">
        <f t="shared" si="2"/>
        <v>2</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9</v>
      </c>
      <c r="C13" s="848">
        <f>Datos!AR13</f>
        <v>8</v>
      </c>
      <c r="D13" s="846">
        <f>SUBTOTAL(9,D9:D12)</f>
        <v>1571</v>
      </c>
      <c r="E13" s="847">
        <f t="shared" si="0"/>
        <v>174.55555555555554</v>
      </c>
      <c r="F13" s="846">
        <f>SUBTOTAL(9,F9:F12)</f>
        <v>1085</v>
      </c>
      <c r="G13" s="847">
        <f t="shared" si="1"/>
        <v>120.55555555555556</v>
      </c>
      <c r="H13" s="846">
        <f>SUBTOTAL(9,H9:H12)</f>
        <v>592</v>
      </c>
      <c r="I13" s="847">
        <f>IF(ISNUMBER(H13/B13),H13/B13," - ")</f>
        <v>65.777777777777771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462</v>
      </c>
      <c r="E15" s="403">
        <f t="shared" ref="E15:E19" si="3">IF(ISNUMBER(D15/B15),D15/B15," - ")</f>
        <v>115.5</v>
      </c>
      <c r="F15" s="402">
        <f>IF(ISNUMBER(Datos!N15),Datos!N15," - ")</f>
        <v>2193</v>
      </c>
      <c r="G15" s="403">
        <f t="shared" ref="G15:G19" si="4">IF(ISNUMBER(F15/B15),F15/B15," - ")</f>
        <v>548.25</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f>IF(ISNUMBER(Datos!M17),Datos!M17," - ")</f>
        <v>0</v>
      </c>
      <c r="E17" s="403" t="str">
        <f t="shared" si="3"/>
        <v xml:space="preserve"> - </v>
      </c>
      <c r="F17" s="402">
        <f>IF(ISNUMBER(Datos!N17),Datos!N17," - ")</f>
        <v>0</v>
      </c>
      <c r="G17" s="403" t="str">
        <f t="shared" si="4"/>
        <v xml:space="preserve"> - </v>
      </c>
      <c r="H17" s="402">
        <f>IF(ISNUMBER(Datos!O17),Datos!O17," - ")</f>
        <v>0</v>
      </c>
      <c r="I17" s="403" t="str">
        <f t="shared" si="5"/>
        <v xml:space="preserve"> - </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462</v>
      </c>
      <c r="E19" s="847">
        <f t="shared" si="3"/>
        <v>115.5</v>
      </c>
      <c r="F19" s="846">
        <f>SUBTOTAL(9,F15:F18)</f>
        <v>2193</v>
      </c>
      <c r="G19" s="847">
        <f t="shared" si="4"/>
        <v>548.25</v>
      </c>
      <c r="H19" s="846">
        <f>SUBTOTAL(9,H15:H18)</f>
        <v>0</v>
      </c>
      <c r="I19" s="847">
        <f>IF(ISNUMBER(H19/B19),H19/B19," - ")</f>
        <v>0</v>
      </c>
      <c r="BZ19" s="1181"/>
    </row>
    <row r="20" spans="1:78" ht="14.25" thickTop="1" thickBot="1">
      <c r="A20" s="790" t="str">
        <f>Datos!A20</f>
        <v>TOTAL JURISDICCIONES</v>
      </c>
      <c r="B20" s="791">
        <f>Datos!AP20</f>
        <v>13</v>
      </c>
      <c r="C20" s="791">
        <f>Datos!AR20</f>
        <v>12</v>
      </c>
      <c r="D20" s="791">
        <f>SUBTOTAL(9,D8:D19)</f>
        <v>2033</v>
      </c>
      <c r="E20" s="792">
        <f>IF(ISNUMBER(D20/B20),D20/B20," - ")</f>
        <v>156.38461538461539</v>
      </c>
      <c r="F20" s="791">
        <f>SUBTOTAL(9,F8:F19)</f>
        <v>3278</v>
      </c>
      <c r="G20" s="792">
        <f>IF(ISNUMBER(F20/B20),F20/B20," - ")</f>
        <v>252.15384615384616</v>
      </c>
      <c r="H20" s="791">
        <f>SUBTOTAL(9,H8:H19)</f>
        <v>592</v>
      </c>
      <c r="I20" s="792">
        <f>IF(ISNUMBER(H20/B20),H20/B20," - ")</f>
        <v>45.53846153846154</v>
      </c>
    </row>
    <row r="23" spans="1:78">
      <c r="A23" s="390" t="str">
        <f>Criterios!A4</f>
        <v>Fecha Informe: 18 jun. 2026</v>
      </c>
    </row>
    <row r="28" spans="1:78">
      <c r="A28" s="413"/>
    </row>
  </sheetData>
  <sheetProtection algorithmName="SHA-512" hashValue="qL9H5cJpl+xa2eCRFhdBnVpPxXka5zS6vNb1HppAo3tlQDb455au592ZfgWnPl+sviXUH8zmGdYjQCW2rMmnIA==" saltValue="sCqo2KiqEql7zZfyvqH8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 CRISTOBAL DE LA LAGUNA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782</v>
      </c>
      <c r="C9" s="433">
        <f>IF(ISNUMBER(Datos!Q9),Datos!Q9," - ")</f>
        <v>233</v>
      </c>
      <c r="D9" s="407">
        <f>IF(ISNUMBER(Datos!R9),Datos!R9," - ")</f>
        <v>14867</v>
      </c>
    </row>
    <row r="10" spans="1:4">
      <c r="A10" s="401" t="str">
        <f>Datos!A10</f>
        <v>Sección De Violencia sobre la Mujer del TI</v>
      </c>
      <c r="B10" s="432">
        <f>IF(ISNUMBER(Datos!P10),Datos!P10," - ")</f>
        <v>0</v>
      </c>
      <c r="C10" s="433">
        <f>IF(ISNUMBER(Datos!Q10),Datos!Q10," - ")</f>
        <v>0</v>
      </c>
      <c r="D10" s="407">
        <f>IF(ISNUMBER(Datos!R10),Datos!R10," - ")</f>
        <v>66</v>
      </c>
    </row>
    <row r="11" spans="1:4">
      <c r="A11" s="401" t="str">
        <f>Datos!A11</f>
        <v xml:space="preserve">Sección de Familia, infancia e incapacidad del TI                           </v>
      </c>
      <c r="B11" s="432">
        <f>IF(ISNUMBER(Datos!P11),Datos!P11," - ")</f>
        <v>4</v>
      </c>
      <c r="C11" s="433">
        <f>IF(ISNUMBER(Datos!Q11),Datos!Q11," - ")</f>
        <v>0</v>
      </c>
      <c r="D11" s="407">
        <f>IF(ISNUMBER(Datos!R11),Datos!R11," - ")</f>
        <v>13</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786</v>
      </c>
      <c r="C13" s="850">
        <f>SUBTOTAL(9,C9:C12)</f>
        <v>233</v>
      </c>
      <c r="D13" s="848">
        <f>SUBTOTAL(9,D9:D12)</f>
        <v>14946</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97</v>
      </c>
      <c r="C15" s="433">
        <f>IF(ISNUMBER(Datos!Q15),Datos!Q15," - ")</f>
        <v>78</v>
      </c>
      <c r="D15" s="407">
        <f>IF(ISNUMBER(Datos!R15),Datos!R15," - ")</f>
        <v>501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0</v>
      </c>
      <c r="D17" s="407">
        <f>IF(ISNUMBER(Datos!R17),Datos!R17," - ")</f>
        <v>0</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97</v>
      </c>
      <c r="C19" s="850">
        <f>SUBTOTAL(9,C15:C18)</f>
        <v>78</v>
      </c>
      <c r="D19" s="848">
        <f>SUBTOTAL(9,D15:D18)</f>
        <v>501</v>
      </c>
    </row>
    <row r="20" spans="1:4" ht="16.5" customHeight="1" thickTop="1" thickBot="1">
      <c r="A20" s="790" t="str">
        <f>Datos!A20</f>
        <v>TOTAL JURISDICCIONES</v>
      </c>
      <c r="B20" s="795">
        <f>SUBTOTAL(9,B8:B19)</f>
        <v>883</v>
      </c>
      <c r="C20" s="796">
        <f>SUBTOTAL(9,C8:C19)</f>
        <v>311</v>
      </c>
      <c r="D20" s="797">
        <f>SUBTOTAL(9,D8:D19)</f>
        <v>15447</v>
      </c>
    </row>
    <row r="21" spans="1:4" ht="7.5" customHeight="1"/>
    <row r="22" spans="1:4" ht="6" customHeight="1"/>
    <row r="23" spans="1:4">
      <c r="A23" s="390" t="str">
        <f>Criterios!A4</f>
        <v>Fecha Informe: 18 jun. 2026</v>
      </c>
    </row>
    <row r="28" spans="1:4">
      <c r="A28" s="413"/>
    </row>
  </sheetData>
  <sheetProtection algorithmName="SHA-512" hashValue="KXRG2HVJ0broPrRdBzAbjkW8RQWOXOPW6pjkl+e9umtHV0jaTxwnMH6QVADaLWDGwMAj3GHqH9HLAlYrW0Tp5A==" saltValue="4+T6hvbW5FP6wO4qQwRy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 CRISTOBAL DE LA LAGUNA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4.9105576990529642E-3</v>
      </c>
      <c r="C9" s="455">
        <f>IF(ISNUMBER(
   IF(J_V="SI",(Datos!J9-Datos!T9)/Datos!T9,(Datos!J9+Datos!Z9-(Datos!T9+Datos!AH9))/(Datos!T9+Datos!AH9))
     ),IF(J_V="SI",(Datos!J9-Datos!T9)/Datos!T9,(Datos!J9+Datos!Z9-(Datos!T9+Datos!AH9))/(Datos!T9+Datos!AH9))," - ")</f>
        <v>-0.48868133607725184</v>
      </c>
      <c r="D9" s="455">
        <f>IF(ISNUMBER(
   IF(J_V="SI",(Datos!K9-Datos!U9)/Datos!U9,(Datos!K9+Datos!AA9-(Datos!U9+Datos!AI9))/(Datos!U9+Datos!AI9))
     ),IF(J_V="SI",(Datos!K9-Datos!U9)/Datos!U9,(Datos!K9+Datos!AA9-(Datos!U9+Datos!AI9))/(Datos!U9+Datos!AI9))," - ")</f>
        <v>-0.2464075382803298</v>
      </c>
      <c r="E9" s="455">
        <f>IF(ISNUMBER(
   IF(J_V="SI",(Datos!L9-Datos!V9)/Datos!V9,(Datos!L9+Datos!AB9-(Datos!V9+Datos!AJ9))/(Datos!V9+Datos!AJ9))
     ),IF(J_V="SI",(Datos!L9-Datos!V9)/Datos!V9,(Datos!L9+Datos!AB9-(Datos!V9+Datos!AJ9))/(Datos!V9+Datos!AJ9))," - ")</f>
        <v>-0.19218823529411766</v>
      </c>
      <c r="F9" s="455">
        <f>IF(ISNUMBER((Datos!M9-Datos!W9)/Datos!W9),(Datos!M9-Datos!W9)/Datos!W9," - ")</f>
        <v>-2.66844563042028E-3</v>
      </c>
      <c r="G9" s="456">
        <f>IF(ISNUMBER((Datos!N9-Datos!X9)/Datos!X9),(Datos!N9-Datos!X9)/Datos!X9," - ")</f>
        <v>-0.42170087976539589</v>
      </c>
      <c r="H9" s="454">
        <f>IF(ISNUMBER(((NºAsuntos!G9/NºAsuntos!E9)-Datos!BD9)/Datos!BD9),((NºAsuntos!G9/NºAsuntos!E9)-Datos!BD9)/Datos!BD9," - ")</f>
        <v>0.47382154200716925</v>
      </c>
      <c r="I9" s="455">
        <f>IF(ISNUMBER(((NºAsuntos!I9/NºAsuntos!G9)-Datos!BE9)/Datos!BE9),((NºAsuntos!I9/NºAsuntos!G9)-Datos!BE9)/Datos!BE9," - ")</f>
        <v>7.194777779820892E-2</v>
      </c>
      <c r="J9" s="460">
        <f>IF(ISNUMBER((('Resol  Asuntos'!D9/NºAsuntos!G9)-Datos!BF9)/Datos!BF9),(('Resol  Asuntos'!D9/NºAsuntos!G9)-Datos!BF9)/Datos!BF9," - ")</f>
        <v>0.16353717574865309</v>
      </c>
      <c r="K9" s="461">
        <f>IF(ISNUMBER((((NºAsuntos!C9+NºAsuntos!E9)/NºAsuntos!G9)-Datos!BG9)/Datos!BG9),(((NºAsuntos!C9+NºAsuntos!E9)/NºAsuntos!G9)-Datos!BG9)/Datos!BG9," - ")</f>
        <v>5.524580752265177E-2</v>
      </c>
    </row>
    <row r="10" spans="1:11" ht="21">
      <c r="A10" s="401" t="str">
        <f>Datos!A10</f>
        <v>Sección De Violencia sobre la Mujer del TI</v>
      </c>
      <c r="B10" s="454">
        <f>IF(ISNUMBER((Datos!I10-Datos!S10)/Datos!S10),(Datos!I10-Datos!S10)/Datos!S10," - ")</f>
        <v>-0.81818181818181823</v>
      </c>
      <c r="C10" s="455">
        <f>IF(ISNUMBER((Datos!J10-Datos!T10)/Datos!T10),(Datos!J10-Datos!T10)/Datos!T10," - ")</f>
        <v>-1</v>
      </c>
      <c r="D10" s="455">
        <f>IF(ISNUMBER((Datos!K10-Datos!U10)/Datos!U10),(Datos!K10-Datos!U10)/Datos!U10," - ")</f>
        <v>-1</v>
      </c>
      <c r="E10" s="455">
        <f>IF(ISNUMBER((Datos!L10-Datos!V10)/Datos!V10),(Datos!L10-Datos!V10)/Datos!V10," - ")</f>
        <v>-0.8</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0.68333333333333335</v>
      </c>
      <c r="C11" s="455">
        <f>IF(ISNUMBER(
   IF(J_V="SI",(Datos!J11-Datos!T11)/Datos!T11,(Datos!J11+Datos!Z11-(Datos!T11+Datos!AH11))/(Datos!T11+Datos!AH11))
     ),IF(J_V="SI",(Datos!J11-Datos!T11)/Datos!T11,(Datos!J11+Datos!Z11-(Datos!T11+Datos!AH11))/(Datos!T11+Datos!AH11))," - ")</f>
        <v>-0.29002320185614849</v>
      </c>
      <c r="D11" s="455">
        <f>IF(ISNUMBER(
   IF(J_V="SI",(Datos!K11-Datos!U11)/Datos!U11,(Datos!K11+Datos!AA11-(Datos!U11+Datos!AI11))/(Datos!U11+Datos!AI11))
     ),IF(J_V="SI",(Datos!K11-Datos!U11)/Datos!U11,(Datos!K11+Datos!AA11-(Datos!U11+Datos!AI11))/(Datos!U11+Datos!AI11))," - ")</f>
        <v>-0.2</v>
      </c>
      <c r="E11" s="455">
        <f>IF(ISNUMBER(
   IF(J_V="SI",(Datos!L11-Datos!V11)/Datos!V11,(Datos!L11+Datos!AB11-(Datos!V11+Datos!AJ11))/(Datos!V11+Datos!AJ11))
     ),IF(J_V="SI",(Datos!L11-Datos!V11)/Datos!V11,(Datos!L11+Datos!AB11-(Datos!V11+Datos!AJ11))/(Datos!V11+Datos!AJ11))," - ")</f>
        <v>0.35177865612648224</v>
      </c>
      <c r="F11" s="455">
        <f>IF(ISNUMBER((Datos!M11-Datos!W11)/Datos!W11),(Datos!M11-Datos!W11)/Datos!W11," - ")</f>
        <v>-0.37190082644628097</v>
      </c>
      <c r="G11" s="456">
        <f>IF(ISNUMBER((Datos!N11-Datos!X11)/Datos!X11),(Datos!N11-Datos!X11)/Datos!X11," - ")</f>
        <v>0.17857142857142858</v>
      </c>
      <c r="H11" s="454">
        <f>IF(ISNUMBER(((NºAsuntos!G11/NºAsuntos!E11)-Datos!BD11)/Datos!BD11),((NºAsuntos!G11/NºAsuntos!E11)-Datos!BD11)/Datos!BD11," - ")</f>
        <v>0.12679738562091508</v>
      </c>
      <c r="I11" s="455">
        <f>IF(ISNUMBER(((NºAsuntos!I11/NºAsuntos!G11)-Datos!BE11)/Datos!BE11),((NºAsuntos!I11/NºAsuntos!G11)-Datos!BE11)/Datos!BE11," - ")</f>
        <v>0.68972332015810278</v>
      </c>
      <c r="J11" s="460">
        <f>IF(ISNUMBER((('Resol  Asuntos'!D11/NºAsuntos!G11)-Datos!BF11)/Datos!BF11),(('Resol  Asuntos'!D11/NºAsuntos!G11)-Datos!BF11)/Datos!BF11," - ")</f>
        <v>0.13095238095238099</v>
      </c>
      <c r="K11" s="461">
        <f>IF(ISNUMBER((((NºAsuntos!C11+NºAsuntos!E11)/NºAsuntos!G11)-Datos!BG11)/Datos!BG11),(((NºAsuntos!C11+NºAsuntos!E11)/NºAsuntos!G11)-Datos!BG11)/Datos!BG11," - ")</f>
        <v>0.44121365360303405</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3.1264007171671895E-2</v>
      </c>
      <c r="C13" s="852">
        <f>IF(ISNUMBER(
   IF(J_V="SI",(Datos!J13-Datos!T13)/Datos!T13,(Datos!J13+Datos!Z13-(Datos!T13+Datos!AH13))/(Datos!T13+Datos!AH13))
     ),IF(J_V="SI",(Datos!J13-Datos!T13)/Datos!T13,(Datos!J13+Datos!Z13-(Datos!T13+Datos!AH13))/(Datos!T13+Datos!AH13))," - ")</f>
        <v>-0.47614814814814815</v>
      </c>
      <c r="D13" s="852">
        <f>IF(ISNUMBER(
   IF(J_V="SI",(Datos!K13-Datos!U13)/Datos!U13,(Datos!K13+Datos!AA13-(Datos!U13+Datos!AI13))/(Datos!U13+Datos!AI13))
     ),IF(J_V="SI",(Datos!K13-Datos!U13)/Datos!U13,(Datos!K13+Datos!AA13-(Datos!U13+Datos!AI13))/(Datos!U13+Datos!AI13))," - ")</f>
        <v>-0.24398852856827707</v>
      </c>
      <c r="E13" s="852">
        <f>IF(ISNUMBER(
   IF(J_V="SI",(Datos!L13-Datos!V13)/Datos!V13,(Datos!L13+Datos!AB13-(Datos!V13+Datos!AJ13))/(Datos!V13+Datos!AJ13))
     ),IF(J_V="SI",(Datos!L13-Datos!V13)/Datos!V13,(Datos!L13+Datos!AB13-(Datos!V13+Datos!AJ13))/(Datos!V13+Datos!AJ13))," - ")</f>
        <v>-0.16802800466744458</v>
      </c>
      <c r="F13" s="853">
        <f>IF(ISNUMBER((Datos!M13-Datos!W13)/Datos!W13),(Datos!M13-Datos!W13)/Datos!W13," - ")</f>
        <v>-3.0246913580246913E-2</v>
      </c>
      <c r="G13" s="854">
        <f>IF(ISNUMBER((Datos!N13-Datos!X13)/Datos!X13),(Datos!N13-Datos!X13)/Datos!X13," - ")</f>
        <v>-0.39453125</v>
      </c>
      <c r="H13" s="854">
        <f>IF(ISNUMBER(((NºAsuntos!G13/NºAsuntos!E13)-Datos!BD13)/Datos!BD13),((NºAsuntos!G13/NºAsuntos!E13)-Datos!BD13)/Datos!BD13," - ")</f>
        <v>0.44317800683374703</v>
      </c>
      <c r="I13" s="854">
        <f>IF(ISNUMBER(((NºAsuntos!I13/NºAsuntos!G13)-Datos!BE13)/Datos!BE13),((NºAsuntos!I13/NºAsuntos!G13)-Datos!BE13)/Datos!BE13," - ")</f>
        <v>0.10047535886853626</v>
      </c>
      <c r="J13" s="854">
        <f>IF(ISNUMBER((('Resol  Asuntos'!D13/NºAsuntos!G13)-Datos!BF13)/Datos!BF13),(('Resol  Asuntos'!D13/NºAsuntos!G13)-Datos!BF13)/Datos!BF13," - ")</f>
        <v>0.16154879631923705</v>
      </c>
      <c r="K13" s="854">
        <f>IF(ISNUMBER((((NºAsuntos!C13+NºAsuntos!E13)/NºAsuntos!G13)-Datos!BG13)/Datos!BG13),(((NºAsuntos!C13+NºAsuntos!E13)/NºAsuntos!G13)-Datos!BG13)/Datos!BG13," - ")</f>
        <v>7.5046153948116895E-2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0.10151753008895865</v>
      </c>
      <c r="C15" s="455">
        <f>IF(ISNUMBER(
   IF(D_I="SI",(Datos!J15-Datos!T15)/Datos!T15,(Datos!J15+Datos!AD15-(Datos!T15+Datos!AL15))/(Datos!T15+Datos!AL15))
     ),IF(D_I="SI",(Datos!J15-Datos!T15)/Datos!T15,(Datos!J15+Datos!AD15-(Datos!T15+Datos!AL15))/(Datos!T15+Datos!AL15))," - ")</f>
        <v>-3.2791559737667522E-2</v>
      </c>
      <c r="D15" s="455">
        <f>IF(ISNUMBER(
   IF(D_I="SI",(Datos!K15-Datos!U15)/Datos!U15,(Datos!K15+Datos!AE15-(Datos!U15+Datos!AM15))/(Datos!U15+Datos!AM15))
     ),IF(D_I="SI",(Datos!K15-Datos!U15)/Datos!U15,(Datos!K15+Datos!AE15-(Datos!U15+Datos!AM15))/(Datos!U15+Datos!AM15))," - ")</f>
        <v>-3.0825791855203621E-2</v>
      </c>
      <c r="E15" s="455">
        <f>IF(ISNUMBER(
   IF(D_I="SI",(Datos!L15-Datos!V15)/Datos!V15,(Datos!L15+Datos!AF15-(Datos!V15+Datos!AN15))/(Datos!V15+Datos!AN15))
     ),IF(D_I="SI",(Datos!L15-Datos!V15)/Datos!V15,(Datos!L15+Datos!AF15-(Datos!V15+Datos!AN15))/(Datos!V15+Datos!AN15))," - ")</f>
        <v>9.3119503362648737E-2</v>
      </c>
      <c r="F15" s="455">
        <f>IF(ISNUMBER((Datos!M15-Datos!W15)/Datos!W15),(Datos!M15-Datos!W15)/Datos!W15," - ")</f>
        <v>-0.16</v>
      </c>
      <c r="G15" s="456">
        <f>IF(ISNUMBER((Datos!N15-Datos!X15)/Datos!X15),(Datos!N15-Datos!X15)/Datos!X15," - ")</f>
        <v>-4.982668977469671E-2</v>
      </c>
      <c r="H15" s="454">
        <f>IF(ISNUMBER(((NºAsuntos!G15/NºAsuntos!E15)-Datos!BD15)/Datos!BD15),((NºAsuntos!G15/NºAsuntos!E15)-Datos!BD15)/Datos!BD15," - ")</f>
        <v>2.0324139044223125E-3</v>
      </c>
      <c r="I15" s="455">
        <f>IF(ISNUMBER(((NºAsuntos!I15/NºAsuntos!G15)-Datos!BE15)/Datos!BE15),((NºAsuntos!I15/NºAsuntos!G15)-Datos!BE15)/Datos!BE15," - ")</f>
        <v>0.1278875295857386</v>
      </c>
      <c r="J15" s="460">
        <f>IF(ISNUMBER((('Resol  Asuntos'!D15/NºAsuntos!G15)-Datos!BF15)/Datos!BF15),(('Resol  Asuntos'!D15/NºAsuntos!G15)-Datos!BF15)/Datos!BF15," - ")</f>
        <v>-0.13328275459585642</v>
      </c>
      <c r="K15" s="461">
        <f>IF(ISNUMBER((((NºAsuntos!C15+NºAsuntos!E15)/NºAsuntos!G15)-Datos!BG15)/Datos!BG15),(((NºAsuntos!C15+NºAsuntos!E15)/NºAsuntos!G15)-Datos!BG15)/Datos!BG15," - ")</f>
        <v>4.6851038422756792E-2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-0.94736842105263153</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-0.66666666666666663</v>
      </c>
      <c r="F18" s="455" t="str">
        <f>IF(ISNUMBER((Datos!M18-Datos!W18)/Datos!W18),(Datos!M18-Datos!W18)/Datos!W18," - ")</f>
        <v xml:space="preserve"> - </v>
      </c>
      <c r="G18" s="456">
        <f>IF(ISNUMBER((Datos!N18-Datos!X18)/Datos!X18),(Datos!N18-Datos!X18)/Datos!X18," - ")</f>
        <v>-1</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9.0206185567010308E-2</v>
      </c>
      <c r="C19" s="852">
        <f>IF(ISNUMBER(
   IF(Criterios!B14="SI",(Datos!J19-Datos!T19)/Datos!T19,(Datos!J19+Datos!AD19-(Datos!T19+Datos!AL19))/(Datos!T19+Datos!AL19))
     ),IF(Criterios!B14="SI",(Datos!J19-Datos!T19)/Datos!T19,(Datos!J19+Datos!AD19-(Datos!T19+Datos!AL19))/(Datos!T19+Datos!AL19))," - ")</f>
        <v>-3.2791559737667522E-2</v>
      </c>
      <c r="D19" s="852">
        <f>IF(ISNUMBER(
   IF(Criterios!B14="SI",(Datos!K19-Datos!U19)/Datos!U19,(Datos!K19+Datos!AE19-(Datos!U19+Datos!AM19))/(Datos!U19+Datos!AM19))
     ),IF(Criterios!B14="SI",(Datos!K19-Datos!U19)/Datos!U19,(Datos!K19+Datos!AE19-(Datos!U19+Datos!AM19))/(Datos!U19+Datos!AM19))," - ")</f>
        <v>-3.5191441441441443E-2</v>
      </c>
      <c r="E19" s="852">
        <f>IF(ISNUMBER(
   IF(Criterios!B14="SI",(Datos!L19-Datos!V19)/Datos!V19,(Datos!L19+Datos!AF19-(Datos!V19+Datos!AN19))/(Datos!V19+Datos!AN19))
     ),IF(Criterios!B14="SI",(Datos!L19-Datos!V19)/Datos!V19,(Datos!L19+Datos!AF19-(Datos!V19+Datos!AN19))/(Datos!V19+Datos!AN19))," - ")</f>
        <v>9.1516709511568123E-2</v>
      </c>
      <c r="F19" s="853">
        <f>IF(ISNUMBER((Datos!M19-Datos!W19)/Datos!W19),(Datos!M19-Datos!W19)/Datos!W19," - ")</f>
        <v>-0.16</v>
      </c>
      <c r="G19" s="854">
        <f>IF(ISNUMBER((Datos!N19-Datos!X19)/Datos!X19),(Datos!N19-Datos!X19)/Datos!X19," - ")</f>
        <v>-5.2290406222990492E-2</v>
      </c>
      <c r="H19" s="854">
        <f>IF(ISNUMBER(((NºAsuntos!G19/NºAsuntos!E19)-Datos!BD19)/Datos!BD19),((NºAsuntos!G19/NºAsuntos!E19)-Datos!BD19)/Datos!BD19," - ")</f>
        <v>-2.4812456176695483E-3</v>
      </c>
      <c r="I19" s="854">
        <f>IF(ISNUMBER(((NºAsuntos!I19/NºAsuntos!G19)-Datos!BE19)/Datos!BE19),((NºAsuntos!I19/NºAsuntos!G19)-Datos!BE19)/Datos!BE19," - ")</f>
        <v>0.13132983722938138</v>
      </c>
      <c r="J19" s="854">
        <f>IF(ISNUMBER((('Resol  Asuntos'!D19/NºAsuntos!G19)-Datos!BF19)/Datos!BF19),(('Resol  Asuntos'!D19/NºAsuntos!G19)-Datos!BF19)/Datos!BF19," - ")</f>
        <v>-0.12936095710533993</v>
      </c>
      <c r="K19" s="854">
        <f>IF(ISNUMBER((((NºAsuntos!C19+NºAsuntos!E19)/NºAsuntos!G19)-Datos!BG19)/Datos!BG19),(((NºAsuntos!C19+NºAsuntos!E19)/NºAsuntos!G19)-Datos!BG19)/Datos!BG19," - ")</f>
        <v>4.7892070169882207E-2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4.1789396170839467E-2</v>
      </c>
      <c r="C20" s="799">
        <f>IF(ISNUMBER(
   IF(J_V="SI",(Datos!J20-Datos!T20)/Datos!T20,(Datos!J20+Datos!Z20-(Datos!T20+Datos!AH20))/(Datos!T20+Datos!AH20))
     ),IF(J_V="SI",(Datos!J20-Datos!T20)/Datos!T20,(Datos!J20+Datos!Z20-(Datos!T20+Datos!AH20))/(Datos!T20+Datos!AH20))," - ")</f>
        <v>-0.32455883786682266</v>
      </c>
      <c r="D20" s="799">
        <f>IF(ISNUMBER(
   IF(J_V="SI",(Datos!K20-Datos!U20)/Datos!U20,(Datos!K20+Datos!AA20-(Datos!U20+Datos!AI20))/(Datos!U20+Datos!AI20))
     ),IF(J_V="SI",(Datos!K20-Datos!U20)/Datos!U20,(Datos!K20+Datos!AA20-(Datos!U20+Datos!AI20))/(Datos!U20+Datos!AI20))," - ")</f>
        <v>-0.15225726654298083</v>
      </c>
      <c r="E20" s="799">
        <f>IF(ISNUMBER(
   IF(J_V="SI",(Datos!L20-Datos!V20)/Datos!V20,(Datos!L20+Datos!AB20-(Datos!V20+Datos!AJ20))/(Datos!V20+Datos!AJ20))
     ),IF(J_V="SI",(Datos!L20-Datos!V20)/Datos!V20,(Datos!L20+Datos!AB20-(Datos!V20+Datos!AJ20))/(Datos!V20+Datos!AJ20))," - ")</f>
        <v>-0.1294513220235366</v>
      </c>
      <c r="F20" s="800">
        <f>IF(ISNUMBER((Datos!M20-Datos!W20)/Datos!W20),(Datos!M20-Datos!W20)/Datos!W20," - ")</f>
        <v>-6.313364055299539E-2</v>
      </c>
      <c r="G20" s="801">
        <f>IF(ISNUMBER((Datos!N20-Datos!X20)/Datos!X20),(Datos!N20-Datos!X20)/Datos!X20," - ")</f>
        <v>-0.20165611300535802</v>
      </c>
      <c r="H20" s="802">
        <f>IF(ISNUMBER((Tasas!B20-Datos!BD20)/Datos!BD20),(Tasas!B20-Datos!BD20)/Datos!BD20," - ")</f>
        <v>0.25509486389558977</v>
      </c>
      <c r="I20" s="803">
        <f>IF(ISNUMBER((Tasas!C20-Datos!BE20)/Datos!BE20),(Tasas!C20-Datos!BE20)/Datos!BE20," - ")</f>
        <v>2.6901964026802793E-2</v>
      </c>
      <c r="J20" s="804">
        <f>IF(ISNUMBER((Tasas!D20-Datos!BF20)/Datos!BF20),(Tasas!D20-Datos!BF20)/Datos!BF20," - ")</f>
        <v>2.5281405252881455E-2</v>
      </c>
      <c r="K20" s="804">
        <f>IF(ISNUMBER((Tasas!E20-Datos!BG20)/Datos!BG20),(Tasas!E20-Datos!BG20)/Datos!BG20," - ")</f>
        <v>1.9035041013907593E-2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jQcqirKnhepOpAiEAu6QuJ8oKgj6sW8nHmfOF5h3KbfSQrNtuWcreq7RzskmfbLt7dB5ICIavSS2he8/S82mA==" saltValue="CrzVX5X66IYEOiEO/GmQg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 CRISTOBAL DE LA LAGUNA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0.99040247678018578</v>
      </c>
      <c r="C9" s="442">
        <f>IF(ISNUMBER(NºAsuntos!I9/NºAsuntos!G9),NºAsuntos!I9/NºAsuntos!G9," - ")</f>
        <v>2.6830259456080023</v>
      </c>
      <c r="D9" s="443">
        <f>IF(ISNUMBER('Resol  Asuntos'!D9/NºAsuntos!G9),'Resol  Asuntos'!D9/NºAsuntos!G9," - ")</f>
        <v>0.4673335417317912</v>
      </c>
      <c r="E9" s="444">
        <f>IF(ISNUMBER((NºAsuntos!C9+NºAsuntos!E9)/NºAsuntos!G9),(NºAsuntos!C9+NºAsuntos!E9)/NºAsuntos!G9," - ")</f>
        <v>3.6964676461394186</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f>IF(ISNUMBER(NºAsuntos!G11/NºAsuntos!E11),NºAsuntos!G11/NºAsuntos!E11," - ")</f>
        <v>0.74509803921568629</v>
      </c>
      <c r="C11" s="442">
        <f>IF(ISNUMBER(NºAsuntos!I11/NºAsuntos!G11),NºAsuntos!I11/NºAsuntos!G11," - ")</f>
        <v>3</v>
      </c>
      <c r="D11" s="443">
        <f>IF(ISNUMBER('Resol  Asuntos'!D11/NºAsuntos!G11),'Resol  Asuntos'!D11/NºAsuntos!G11," - ")</f>
        <v>0.33333333333333331</v>
      </c>
      <c r="E11" s="444">
        <f>IF(ISNUMBER((NºAsuntos!C11+NºAsuntos!E11)/NºAsuntos!G11),(NºAsuntos!C11+NºAsuntos!E11)/NºAsuntos!G11," - ")</f>
        <v>4</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0.96917420814479638</v>
      </c>
      <c r="C13" s="856">
        <f>IF(ISNUMBER(NºAsuntos!I13/NºAsuntos!G13),NºAsuntos!I13/NºAsuntos!G13," - ")</f>
        <v>2.7046979865771812</v>
      </c>
      <c r="D13" s="857">
        <f>IF(ISNUMBER('Resol  Asuntos'!D13/NºAsuntos!G13),'Resol  Asuntos'!D13/NºAsuntos!G13," - ")</f>
        <v>0.45841844178581848</v>
      </c>
      <c r="E13" s="858">
        <f>IF(ISNUMBER((NºAsuntos!C13+NºAsuntos!E13)/NºAsuntos!G13),(NºAsuntos!C13+NºAsuntos!E13)/NºAsuntos!G13," - ")</f>
        <v>3.7172454041435659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1.0103183962264151</v>
      </c>
      <c r="C15" s="442">
        <f>IF(ISNUMBER(NºAsuntos!I15/NºAsuntos!G15),NºAsuntos!I15/NºAsuntos!G15," - ")</f>
        <v>0.61657426320396846</v>
      </c>
      <c r="D15" s="443">
        <f>IF(ISNUMBER('Resol  Asuntos'!D15/NºAsuntos!G15),'Resol  Asuntos'!D15/NºAsuntos!G15," - ")</f>
        <v>0.13481178873650423</v>
      </c>
      <c r="E15" s="444">
        <f>IF(ISNUMBER((NºAsuntos!C15+NºAsuntos!E15)/NºAsuntos!G15),(NºAsuntos!C15+NºAsuntos!E15)/NºAsuntos!G15," - ")</f>
        <v>1.6040268456375839</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1.0103183962264151</v>
      </c>
      <c r="C19" s="856">
        <f>IF(ISNUMBER(NºAsuntos!I19/NºAsuntos!G19),NºAsuntos!I19/NºAsuntos!G19," - ")</f>
        <v>0.61949226728917417</v>
      </c>
      <c r="D19" s="859">
        <f>IF(ISNUMBER('Resol  Asuntos'!D19/NºAsuntos!G19),'Resol  Asuntos'!D19/NºAsuntos!G19," - ")</f>
        <v>0.13481178873650423</v>
      </c>
      <c r="E19" s="858">
        <f>IF(ISNUMBER((NºAsuntos!C19+NºAsuntos!E19)/NºAsuntos!G19),(NºAsuntos!C19+NºAsuntos!E19)/NºAsuntos!G19," - ")</f>
        <v>1.6069448497227896</v>
      </c>
      <c r="G19" s="462"/>
    </row>
    <row r="20" spans="1:7" ht="15.75" customHeight="1" thickTop="1" thickBot="1">
      <c r="A20" s="790" t="str">
        <f>Datos!A20</f>
        <v>TOTAL JURISDICCIONES</v>
      </c>
      <c r="B20" s="805">
        <f>IF(ISNUMBER(NºAsuntos!G20/NºAsuntos!E20),NºAsuntos!G20/NºAsuntos!E20," - ")</f>
        <v>0.98931870669745958</v>
      </c>
      <c r="C20" s="806">
        <f>IF(ISNUMBER(NºAsuntos!I20/NºAsuntos!G20),NºAsuntos!I20/NºAsuntos!G20," - ")</f>
        <v>1.6620951269331776</v>
      </c>
      <c r="D20" s="807">
        <f>IF(ISNUMBER('Resol  Asuntos'!D20/NºAsuntos!G20),'Resol  Asuntos'!D20/NºAsuntos!G20," - ")</f>
        <v>0.29661511526116136</v>
      </c>
      <c r="E20" s="808">
        <f>IF(ISNUMBER((NºAsuntos!C20+NºAsuntos!E20)/NºAsuntos!G20),(NºAsuntos!C20+NºAsuntos!E20)/NºAsuntos!G20," - ")</f>
        <v>2.6620951269331776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4ks8CwpJtFJKegMfFZ+xSnpokBz1B8jihM4sh30+8HeBjXg/eGtV+KbF6zRu+0HFKKE+lkGrihLveyyx0FSDA==" saltValue="/OqN94UT16PeMtRZBpo9r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 CRISTOBAL DE LA LAGUNA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247</v>
      </c>
      <c r="C9" s="159" t="str">
        <f>Datos!A9</f>
        <v>Sección Civil del T.I</v>
      </c>
      <c r="D9" s="159"/>
      <c r="E9" s="1020">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782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233</v>
      </c>
      <c r="Y9" s="333">
        <f>SUM(W9:X9)</f>
        <v>233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14867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1495</v>
      </c>
      <c r="AJ9" s="228" t="str">
        <f>IF(ISNUMBER(Datos!BW9),Datos!BW9," - ")</f>
        <v xml:space="preserve"> - </v>
      </c>
      <c r="AK9" s="227" t="str">
        <f>IF(ISNUMBER(Datos!BX9),Datos!BX9," - ")</f>
        <v xml:space="preserve"> - </v>
      </c>
      <c r="AL9" s="242">
        <f>IF(ISNUMBER(NºAsuntos!G9/NºAsuntos!E9),NºAsuntos!G9/NºAsuntos!E9," - ")</f>
        <v>0.99040247678018578</v>
      </c>
      <c r="AM9" s="259">
        <f>IF(ISNUMBER(((NºAsuntos!I9/NºAsuntos!G9)*11)/factor_trimestre),((NºAsuntos!I9/NºAsuntos!G9)*11)/factor_trimestre," - ")</f>
        <v>8.0490778368240079</v>
      </c>
      <c r="AN9" s="243">
        <f>IF(ISNUMBER('Resol  Asuntos'!D9/NºAsuntos!G9),'Resol  Asuntos'!D9/NºAsuntos!G9," - ")</f>
        <v>0.4673335417317912</v>
      </c>
      <c r="AO9" s="244">
        <f>IF(ISNUMBER((NºAsuntos!C9+NºAsuntos!E9)/NºAsuntos!G9),(NºAsuntos!C9+NºAsuntos!E9)/NºAsuntos!G9," - ")</f>
        <v>3.6964676461394186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66</v>
      </c>
      <c r="AC10" s="333">
        <f t="shared" ref="AC10:AC12" si="1">IF(ISNUMBER(AA10+AB10),AA10+AB10," - ")</f>
        <v>68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247</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0</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76</v>
      </c>
      <c r="AJ11" s="230" t="str">
        <f>IF(ISNUMBER(Datos!BW11),Datos!BW11," - ")</f>
        <v xml:space="preserve"> - </v>
      </c>
      <c r="AK11" s="231" t="str">
        <f>IF(ISNUMBER(Datos!BX11),Datos!BX11," - ")</f>
        <v xml:space="preserve"> - </v>
      </c>
      <c r="AL11" s="242">
        <f>IF(ISNUMBER(NºAsuntos!G11/NºAsuntos!E11),NºAsuntos!G11/NºAsuntos!E11," - ")</f>
        <v>0.74509803921568629</v>
      </c>
      <c r="AM11" s="259">
        <f>IF(ISNUMBER(((NºAsuntos!I11/NºAsuntos!G11)*11)/factor_trimestre),((NºAsuntos!I11/NºAsuntos!G11)*11)/factor_trimestre," - ")</f>
        <v>9</v>
      </c>
      <c r="AN11" s="243">
        <f>IF(ISNUMBER('Resol  Asuntos'!D11/NºAsuntos!G11),'Resol  Asuntos'!D11/NºAsuntos!G11," - ")</f>
        <v>0.33333333333333331</v>
      </c>
      <c r="AO11" s="244">
        <f>IF(ISNUMBER((NºAsuntos!C11+NºAsuntos!E11)/NºAsuntos!G11),(NºAsuntos!C11+NºAsuntos!E11)/NºAsuntos!G11," - ")</f>
        <v>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2</v>
      </c>
      <c r="G13" s="863">
        <f t="shared" si="3"/>
        <v>2</v>
      </c>
      <c r="H13" s="862">
        <f t="shared" si="3"/>
        <v>0</v>
      </c>
      <c r="I13" s="864">
        <f t="shared" si="3"/>
        <v>0</v>
      </c>
      <c r="J13" s="864">
        <f t="shared" si="3"/>
        <v>0</v>
      </c>
      <c r="K13" s="864">
        <f t="shared" si="3"/>
        <v>0</v>
      </c>
      <c r="L13" s="864">
        <f t="shared" si="3"/>
        <v>786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233</v>
      </c>
      <c r="Y13" s="865">
        <f t="shared" si="4"/>
        <v>233</v>
      </c>
      <c r="Z13" s="865">
        <f t="shared" si="4"/>
        <v>0</v>
      </c>
      <c r="AA13" s="865">
        <f t="shared" si="4"/>
        <v>2</v>
      </c>
      <c r="AB13" s="865">
        <f t="shared" si="4"/>
        <v>14946</v>
      </c>
      <c r="AC13" s="865">
        <f t="shared" si="4"/>
        <v>68</v>
      </c>
      <c r="AD13" s="865">
        <f t="shared" si="4"/>
        <v>0</v>
      </c>
      <c r="AE13" s="869">
        <f t="shared" si="4"/>
        <v>0</v>
      </c>
      <c r="AF13" s="862">
        <f t="shared" si="4"/>
        <v>0</v>
      </c>
      <c r="AG13" s="870">
        <f t="shared" si="4"/>
        <v>0</v>
      </c>
      <c r="AH13" s="867">
        <f t="shared" si="4"/>
        <v>0</v>
      </c>
      <c r="AI13" s="862">
        <f t="shared" si="4"/>
        <v>1571</v>
      </c>
      <c r="AJ13" s="864">
        <f t="shared" si="4"/>
        <v>0</v>
      </c>
      <c r="AK13" s="867">
        <f>SUBTOTAL(9,AK9:AK12)</f>
        <v>0</v>
      </c>
      <c r="AL13" s="871">
        <f>IF(ISNUMBER(NºAsuntos!G13/NºAsuntos!E13),NºAsuntos!G13/NºAsuntos!E13," - ")</f>
        <v>0.96917420814479638</v>
      </c>
      <c r="AM13" s="871">
        <f>IF(ISNUMBER(((NºAsuntos!I13/NºAsuntos!G13)*11)/factor_trimestre),((NºAsuntos!I13/NºAsuntos!G13)*11)/factor_trimestre," - ")</f>
        <v>8.1140939597315445</v>
      </c>
      <c r="AN13" s="872">
        <f>IF(ISNUMBER('Resol  Asuntos'!D13/NºAsuntos!G13),'Resol  Asuntos'!D13/NºAsuntos!G13," - ")</f>
        <v>0.45841844178581848</v>
      </c>
      <c r="AO13" s="873">
        <f>IF(ISNUMBER((NºAsuntos!C13+NºAsuntos!E13)/NºAsuntos!G13),(NºAsuntos!C13+NºAsuntos!E13)/NºAsuntos!G13," - ")</f>
        <v>3.7172454041435659</v>
      </c>
      <c r="AP13" s="874" t="str">
        <f t="shared" si="2"/>
        <v xml:space="preserve"> - </v>
      </c>
      <c r="AQ13" s="874">
        <f>IF(ISNUMBER((H13-W13+K13)/(F13)),(H13-W13+K13)/(F13)," - ")</f>
        <v>0</v>
      </c>
      <c r="AR13" s="875">
        <f>IF(ISNUMBER((Datos!P13-Datos!Q13)/(Datos!R13-Datos!P13+Datos!Q13)),(Datos!P13-Datos!Q13)/(Datos!R13-Datos!P13+Datos!Q13)," - ")</f>
        <v>3.8421454873897032E-2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2148</v>
      </c>
      <c r="G15" s="332">
        <f>IF(ISNUMBER(IF(D_I="SI",Datos!I15,Datos!I15+Datos!AC15)),IF(D_I="SI",Datos!I15,Datos!I15+Datos!AC15)," - ")</f>
        <v>2105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3427</v>
      </c>
      <c r="X15" s="225">
        <f>IF(ISNUMBER(Datos!Q15),Datos!Q15," - ")</f>
        <v>78</v>
      </c>
      <c r="Y15" s="333">
        <f>SUM(W15)</f>
        <v>3427</v>
      </c>
      <c r="Z15" s="334" t="str">
        <f>IF(ISNUMBER(Datos!CC15),Datos!CC15," - ")</f>
        <v xml:space="preserve"> - </v>
      </c>
      <c r="AA15" s="331">
        <f>IF(ISNUMBER(IF(D_I="SI",Datos!L15,Datos!L15+Datos!AF15)),IF(D_I="SI",Datos!L15,Datos!L15+Datos!AF15)," - ")</f>
        <v>2113</v>
      </c>
      <c r="AB15" s="333">
        <f>IF(ISNUMBER(Datos!R15),Datos!R15," - ")</f>
        <v>501</v>
      </c>
      <c r="AC15" s="333">
        <f t="shared" ref="AC15:AC18" si="6">IF(ISNUMBER(AA15+AB15),AA15+AB15," - ")</f>
        <v>2614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462</v>
      </c>
      <c r="AJ15" s="230" t="str">
        <f>IF(ISNUMBER(Datos!BW15),Datos!BW15," - ")</f>
        <v xml:space="preserve"> - </v>
      </c>
      <c r="AK15" s="231" t="str">
        <f>IF(ISNUMBER(Datos!BX15),Datos!BX15," - ")</f>
        <v xml:space="preserve"> - </v>
      </c>
      <c r="AL15" s="242">
        <f>IF(ISNUMBER(NºAsuntos!G15/NºAsuntos!E15),NºAsuntos!G15/NºAsuntos!E15," - ")</f>
        <v>1.0103183962264151</v>
      </c>
      <c r="AM15" s="259">
        <f>IF(ISNUMBER(((NºAsuntos!I15/NºAsuntos!G15)*11)/factor_trimestre),((NºAsuntos!I15/NºAsuntos!G15)*11)/factor_trimestre," - ")</f>
        <v>1.8497227896119055</v>
      </c>
      <c r="AN15" s="243">
        <f>IF(ISNUMBER('Resol  Asuntos'!D15/NºAsuntos!G15),'Resol  Asuntos'!D15/NºAsuntos!G15," - ")</f>
        <v>0.13481178873650423</v>
      </c>
      <c r="AO15" s="244">
        <f>IF(ISNUMBER((NºAsuntos!C15+NºAsuntos!E15)/NºAsuntos!G15),(NºAsuntos!C15+NºAsuntos!E15)/NºAsuntos!G15," - ")</f>
        <v>1.6040268456375839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f>IF(ISNUMBER(AA17+W17-Datos!J17-K17),AA17+W17-Datos!J17-K17," - ")</f>
        <v>9</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ref="Y17:Y18" si="9">SUM(W17:X17)</f>
        <v>0</v>
      </c>
      <c r="Z17" s="334" t="str">
        <f>IF(ISNUMBER(Datos!CC17),Datos!CC17," - ")</f>
        <v xml:space="preserve"> - </v>
      </c>
      <c r="AA17" s="331">
        <f>IF(ISNUMBER(IF(D_I="SI",Datos!L17,Datos!L17+Datos!AF17)),IF(D_I="SI",Datos!L17,Datos!L17+Datos!AF17)," - ")</f>
        <v>9</v>
      </c>
      <c r="AB17" s="333">
        <f>IF(ISNUMBER(Datos!R17),Datos!R17," - ")</f>
        <v>0</v>
      </c>
      <c r="AC17" s="333">
        <f t="shared" si="6"/>
        <v>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1</v>
      </c>
      <c r="AB18" s="333">
        <f>IF(ISNUMBER(Datos!R18),Datos!R18," - ")</f>
        <v>0</v>
      </c>
      <c r="AC18" s="333">
        <f t="shared" si="6"/>
        <v>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2157</v>
      </c>
      <c r="G19" s="863">
        <f>SUBTOTAL(9,G15:G18)</f>
        <v>2115</v>
      </c>
      <c r="H19" s="862">
        <f t="shared" ref="H19:O19" si="12">SUBTOTAL(9,H14:H18)</f>
        <v>0</v>
      </c>
      <c r="I19" s="864">
        <f t="shared" si="12"/>
        <v>0</v>
      </c>
      <c r="J19" s="864">
        <f t="shared" si="12"/>
        <v>0</v>
      </c>
      <c r="K19" s="864">
        <f t="shared" si="12"/>
        <v>0</v>
      </c>
      <c r="L19" s="864">
        <f t="shared" si="12"/>
        <v>97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3427</v>
      </c>
      <c r="X19" s="864">
        <f t="shared" si="13"/>
        <v>78</v>
      </c>
      <c r="Y19" s="865">
        <f t="shared" si="13"/>
        <v>3427</v>
      </c>
      <c r="Z19" s="865">
        <f t="shared" si="13"/>
        <v>0</v>
      </c>
      <c r="AA19" s="865">
        <f t="shared" si="13"/>
        <v>2123</v>
      </c>
      <c r="AB19" s="865">
        <f t="shared" si="13"/>
        <v>501</v>
      </c>
      <c r="AC19" s="865">
        <f t="shared" si="13"/>
        <v>2624</v>
      </c>
      <c r="AD19" s="865">
        <f t="shared" si="13"/>
        <v>0</v>
      </c>
      <c r="AE19" s="869">
        <f t="shared" si="13"/>
        <v>0</v>
      </c>
      <c r="AF19" s="862">
        <f t="shared" si="13"/>
        <v>0</v>
      </c>
      <c r="AG19" s="870">
        <f t="shared" si="13"/>
        <v>0</v>
      </c>
      <c r="AH19" s="867">
        <f t="shared" si="13"/>
        <v>0</v>
      </c>
      <c r="AI19" s="862">
        <f t="shared" si="13"/>
        <v>462</v>
      </c>
      <c r="AJ19" s="864">
        <f t="shared" si="13"/>
        <v>0</v>
      </c>
      <c r="AK19" s="867">
        <f t="shared" si="13"/>
        <v>0</v>
      </c>
      <c r="AL19" s="871">
        <f>IF(ISNUMBER(NºAsuntos!G19/NºAsuntos!E19),NºAsuntos!G19/NºAsuntos!E19," - ")</f>
        <v>1.0103183962264151</v>
      </c>
      <c r="AM19" s="871">
        <f>IF(ISNUMBER(((NºAsuntos!I19/NºAsuntos!G19)*11)/factor_trimestre),((NºAsuntos!I19/NºAsuntos!G19)*11)/factor_trimestre," - ")</f>
        <v>1.8584768018675224</v>
      </c>
      <c r="AN19" s="872">
        <f>IF(ISNUMBER('Resol  Asuntos'!D19/NºAsuntos!G19),'Resol  Asuntos'!D19/NºAsuntos!G19," - ")</f>
        <v>0.13481178873650423</v>
      </c>
      <c r="AO19" s="873">
        <f>IF(ISNUMBER((NºAsuntos!C19+NºAsuntos!E19)/NºAsuntos!G19),(NºAsuntos!C19+NºAsuntos!E19)/NºAsuntos!G19," - ")</f>
        <v>1.6069448497227896</v>
      </c>
      <c r="AP19" s="874" t="str">
        <f t="shared" si="2"/>
        <v xml:space="preserve"> - </v>
      </c>
      <c r="AQ19" s="874">
        <f>IF(ISNUMBER((H19-W19+K19)/(F19)),(H19-W19+K19)/(F19)," - ")</f>
        <v>-1.5887807139545664</v>
      </c>
      <c r="AR19" s="875">
        <f>IF(ISNUMBER((Datos!P19-Datos!Q19)/(Datos!R19-Datos!P19+Datos!Q19)),(Datos!P19-Datos!Q19)/(Datos!R19-Datos!P19+Datos!Q19)," - ")</f>
        <v>3.9419087136929459E-2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2159</v>
      </c>
      <c r="G20" s="818">
        <f t="shared" si="15"/>
        <v>2117</v>
      </c>
      <c r="H20" s="817">
        <f t="shared" si="15"/>
        <v>0</v>
      </c>
      <c r="I20" s="819">
        <f t="shared" si="15"/>
        <v>0</v>
      </c>
      <c r="J20" s="819">
        <f t="shared" si="15"/>
        <v>0</v>
      </c>
      <c r="K20" s="878">
        <f t="shared" si="15"/>
        <v>0</v>
      </c>
      <c r="L20" s="819">
        <f t="shared" si="15"/>
        <v>883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3427</v>
      </c>
      <c r="X20" s="818">
        <f t="shared" si="16"/>
        <v>311</v>
      </c>
      <c r="Y20" s="825">
        <f t="shared" si="16"/>
        <v>3660</v>
      </c>
      <c r="Z20" s="825">
        <f t="shared" si="16"/>
        <v>0</v>
      </c>
      <c r="AA20" s="825">
        <f t="shared" si="16"/>
        <v>2125</v>
      </c>
      <c r="AB20" s="825">
        <f t="shared" si="16"/>
        <v>15447</v>
      </c>
      <c r="AC20" s="825">
        <f t="shared" si="16"/>
        <v>2692</v>
      </c>
      <c r="AD20" s="825">
        <f t="shared" si="16"/>
        <v>0</v>
      </c>
      <c r="AE20" s="827">
        <f t="shared" si="16"/>
        <v>0</v>
      </c>
      <c r="AF20" s="828">
        <f t="shared" si="16"/>
        <v>0</v>
      </c>
      <c r="AG20" s="829">
        <f t="shared" si="16"/>
        <v>0</v>
      </c>
      <c r="AH20" s="827">
        <f t="shared" si="16"/>
        <v>0</v>
      </c>
      <c r="AI20" s="817">
        <f t="shared" si="16"/>
        <v>2033</v>
      </c>
      <c r="AJ20" s="817">
        <f t="shared" si="16"/>
        <v>0</v>
      </c>
      <c r="AK20" s="827">
        <f t="shared" si="16"/>
        <v>0</v>
      </c>
      <c r="AL20" s="881">
        <f>IF(ISNUMBER(NºAsuntos!G20/NºAsuntos!E20),NºAsuntos!G20/NºAsuntos!E20," - ")</f>
        <v>0.98931870669745958</v>
      </c>
      <c r="AM20" s="882">
        <f>IF(ISNUMBER(((NºAsuntos!I20/NºAsuntos!G20)*11)/factor_trimestre),((NºAsuntos!I20/NºAsuntos!G20)*11)/factor_trimestre," - ")</f>
        <v>4.9862853807995329</v>
      </c>
      <c r="AN20" s="882">
        <f>IF(ISNUMBER('Resol  Asuntos'!D20/NºAsuntos!G20),'Resol  Asuntos'!D20/NºAsuntos!G20," - ")</f>
        <v>0.29661511526116136</v>
      </c>
      <c r="AO20" s="883">
        <f>IF(ISNUMBER((NºAsuntos!C20+NºAsuntos!E20)/NºAsuntos!G20),(NºAsuntos!C20+NºAsuntos!E20)/NºAsuntos!G20," - ")</f>
        <v>2.6620951269331776</v>
      </c>
      <c r="AP20" s="884" t="str">
        <f t="shared" si="2"/>
        <v xml:space="preserve"> - </v>
      </c>
      <c r="AQ20" s="885">
        <f>IF(OR(ISNUMBER(FIND("01",Criterios!A8,1)),ISNUMBER(FIND("02",Criterios!A8,1)),ISNUMBER(FIND("03",Criterios!A8,1)),ISNUMBER(FIND("04",Criterios!A8,1))),(I20-W20+K20)/(F20-K20),(H20-W20+K20)/(F20-K20))</f>
        <v>-1.5873089393237609</v>
      </c>
      <c r="AR20" s="886">
        <f>IF(ISNUMBER((Datos!P20-Datos!Q20)/(Datos!R20-Datos!P20+Datos!Q20)),(Datos!P20-Datos!Q20)/(Datos!R20-Datos!P20+Datos!Q20)," - ")</f>
        <v>3.8453781512605041E-2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705.66666666666663</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3.1340424729448424</v>
      </c>
      <c r="F22" s="251">
        <f>IF(ISNUMBER(STDEV(F8:F19)),STDEV(F8:F19),"-")</f>
        <v>1176.6071136959865</v>
      </c>
      <c r="G22" s="252">
        <f>IF(ISNUMBER(STDEV(G8:G19)),STDEV(G8:G19),"-")</f>
        <v>1087.800288043107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1769.6951903270424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662.15940031730383</v>
      </c>
      <c r="AJ22" s="251">
        <f t="shared" si="20"/>
        <v>0</v>
      </c>
      <c r="AK22" s="253">
        <f t="shared" si="20"/>
        <v>0</v>
      </c>
      <c r="AL22" s="248">
        <f t="shared" si="20"/>
        <v>0.11307026302843867</v>
      </c>
      <c r="AM22" s="249">
        <f t="shared" si="20"/>
        <v>3.5982762563109221</v>
      </c>
      <c r="AN22" s="249">
        <f t="shared" si="20"/>
        <v>0.16478582930251401</v>
      </c>
      <c r="AO22" s="250">
        <f t="shared" si="20"/>
        <v>1.2104420208407243</v>
      </c>
      <c r="AP22" s="290" t="str">
        <f t="shared" si="20"/>
        <v>-</v>
      </c>
      <c r="AQ22" s="291">
        <f t="shared" si="20"/>
        <v>1.1234376166556783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3WENUnP0JfJCMG+MFxgZjd1wY1xOBugBAFja5UMt2dAPkFoA1oGx93U+HY+J0PW5FwLPkc4lRWbYtadefmGSg==" saltValue="9tObv7mwBprNXVnVL+3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 CRISTOBAL DE LA LAGUNA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-2.66844563042028E-3</v>
      </c>
      <c r="I9" s="349">
        <f>IF(ISNUMBER((Tasas!C9-Datos!BE9)/Datos!BE9),(Tasas!C9-Datos!BE9)/Datos!BE9," - ")</f>
        <v>7.194777779820892E-2</v>
      </c>
      <c r="J9" s="348">
        <f>IF(ISNUMBER((Tasas!D9-Datos!BF9)/Datos!BF9),(Tasas!D9-Datos!BF9)/Datos!BF9," - ")</f>
        <v>0.16353717574865309</v>
      </c>
      <c r="K9" s="350">
        <f>IF(ISNUMBER((Tasas!E9-Datos!BG9)/Datos!BG9),(Tasas!E9-Datos!BG9)/Datos!BG9," - ")</f>
        <v>5.524580752265177E-2</v>
      </c>
      <c r="M9" t="e">
        <f>IF(Monitorios="SI",Datos!CE9,0)</f>
        <v>#REF!</v>
      </c>
      <c r="N9" t="e">
        <f>IF(Monitorios="SI",Datos!CF9,0)</f>
        <v>#REF!</v>
      </c>
      <c r="O9" t="e">
        <f>IF(Monitorios="SI",Datos!CG9,0)</f>
        <v>#REF!</v>
      </c>
      <c r="P9" t="e">
        <f>IF(Monitorios="SI",Datos!CH9,0)</f>
        <v>#REF!</v>
      </c>
      <c r="Q9">
        <f>IF(J_V="SI",0,Datos!AG9)</f>
        <v>113</v>
      </c>
      <c r="R9">
        <f>IF(J_V="SI",0,Datos!AH9)</f>
        <v>85</v>
      </c>
      <c r="S9">
        <f>IF(J_V="SI",0,Datos!AI9)</f>
        <v>99</v>
      </c>
      <c r="T9">
        <f>IF(J_V="SI",0,Datos!AJ9)</f>
        <v>99</v>
      </c>
    </row>
    <row r="10" spans="2:20" ht="14.25">
      <c r="B10" s="274" t="s">
        <v>247</v>
      </c>
      <c r="C10" s="7" t="str">
        <f>Datos!A10</f>
        <v>Sección De Violencia sobre la Mujer del TI</v>
      </c>
      <c r="D10" s="351">
        <f>IF(ISNUMBER((Datos!I10-Datos!S10)/Datos!S10),(Datos!I10-Datos!S10)/Datos!S10," - ")</f>
        <v>-0.81818181818181823</v>
      </c>
      <c r="E10" s="347">
        <f>IF(ISNUMBER((Datos!J10-Datos!T10)/Datos!T10),(Datos!J10-Datos!T10)/Datos!T10," - ")</f>
        <v>-1</v>
      </c>
      <c r="F10" s="347">
        <f>IF(ISNUMBER((Datos!K10-Datos!U10)/Datos!U10),(Datos!K10-Datos!U10)/Datos!U10," - ")</f>
        <v>-1</v>
      </c>
      <c r="G10" s="348">
        <f>IF(ISNUMBER((Datos!L10-Datos!V10)/Datos!V10),(Datos!L10-Datos!V10)/Datos!V10," - ")</f>
        <v>-0.8</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-0.37190082644628097</v>
      </c>
      <c r="I11" s="349">
        <f>IF(ISNUMBER((Tasas!C11-Datos!BE11)/Datos!BE11),(Tasas!C11-Datos!BE11)/Datos!BE11," - ")</f>
        <v>0.68972332015810278</v>
      </c>
      <c r="J11" s="348">
        <f>IF(ISNUMBER((Tasas!D11-Datos!BF11)/Datos!BF11),(Tasas!D11-Datos!BF11)/Datos!BF11," - ")</f>
        <v>0.13095238095238099</v>
      </c>
      <c r="K11" s="350">
        <f>IF(ISNUMBER((Tasas!E11-Datos!BG11)/Datos!BG11),(Tasas!E11-Datos!BG11)/Datos!BG11," - ")</f>
        <v>0.44121365360303405</v>
      </c>
      <c r="M11" t="e">
        <f>IF(Monitorios="SI",Datos!CE11,0)</f>
        <v>#REF!</v>
      </c>
      <c r="N11" t="e">
        <f>IF(Monitorios="SI",Datos!CF11,0)</f>
        <v>#REF!</v>
      </c>
      <c r="O11" t="e">
        <f>IF(Monitorios="SI",Datos!CG11,0)</f>
        <v>#REF!</v>
      </c>
      <c r="P11" t="e">
        <f>IF(Monitorios="SI",Datos!CH11,0)</f>
        <v>#REF!</v>
      </c>
      <c r="Q11">
        <f>IF(J_V="SI",0,Datos!AG11)</f>
        <v>55</v>
      </c>
      <c r="R11">
        <f>IF(J_V="SI",0,Datos!AH11)</f>
        <v>58</v>
      </c>
      <c r="S11">
        <f>IF(J_V="SI",0,Datos!AI11)</f>
        <v>52</v>
      </c>
      <c r="T11">
        <f>IF(J_V="SI",0,Datos!AJ11)</f>
        <v>61</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-3.0246913580246913E-2</v>
      </c>
      <c r="I13" s="356">
        <f>IF(ISNUMBER((Tasas!C13-Datos!BE13)/Datos!BE13),(Tasas!C13-Datos!BE13)/Datos!BE13," - ")</f>
        <v>0.10047535886853626</v>
      </c>
      <c r="J13" s="354">
        <f>IF(ISNUMBER((Tasas!D13-Datos!BF13)/Datos!BF13),(Tasas!D13-Datos!BF13)/Datos!BF13," - ")</f>
        <v>0.16154879631923705</v>
      </c>
      <c r="K13" s="357">
        <f>IF(ISNUMBER((Tasas!E13-Datos!BG13)/Datos!BG13),(Tasas!E13-Datos!BG13)/Datos!BG13," - ")</f>
        <v>7.5046153948116895E-2</v>
      </c>
      <c r="M13" t="e">
        <f>IF(Monitorios="SI",Datos!CE13,0)</f>
        <v>#REF!</v>
      </c>
      <c r="N13" t="e">
        <f>IF(Monitorios="SI",Datos!CF13,0)</f>
        <v>#REF!</v>
      </c>
      <c r="O13" t="e">
        <f>IF(Monitorios="SI",Datos!CG13,0)</f>
        <v>#REF!</v>
      </c>
      <c r="P13" t="e">
        <f>IF(Monitorios="SI",Datos!CH13,0)</f>
        <v>#REF!</v>
      </c>
      <c r="Q13">
        <f>IF(J_V="SI",0,Datos!AG13)</f>
        <v>168</v>
      </c>
      <c r="R13">
        <f>IF(J_V="SI",0,Datos!AH13)</f>
        <v>143</v>
      </c>
      <c r="S13">
        <f>IF(J_V="SI",0,Datos!AI13)</f>
        <v>151</v>
      </c>
      <c r="T13">
        <f>IF(J_V="SI",0,Datos!AJ13)</f>
        <v>160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0.10151753008895865</v>
      </c>
      <c r="E15" s="347">
        <f>IF(ISNUMBER(
   IF(D_I="SI",(Datos!J15-Datos!T15)/Datos!T15,(Datos!J15+Datos!AD15-(Datos!T15+Datos!AL15))/(Datos!T15+Datos!AL15))
     ),IF(D_I="SI",(Datos!J15-Datos!T15)/Datos!T15,(Datos!J15+Datos!AD15-(Datos!T15+Datos!AL15))/(Datos!T15+Datos!AL15))," - ")</f>
        <v>-3.2791559737667522E-2</v>
      </c>
      <c r="F15" s="347">
        <f>IF(ISNUMBER(
   IF(D_I="SI",(Datos!K15-Datos!U15)/Datos!U15,(Datos!K15+Datos!AE15-(Datos!U15+Datos!AM15))/(Datos!U15+Datos!AM15))
     ),IF(D_I="SI",(Datos!K15-Datos!U15)/Datos!U15,(Datos!K15+Datos!AE15-(Datos!U15+Datos!AM15))/(Datos!U15+Datos!AM15))," - ")</f>
        <v>-3.0825791855203621E-2</v>
      </c>
      <c r="G15" s="348">
        <f>IF(ISNUMBER(
   IF(D_I="SI",(Datos!L15-Datos!V15)/Datos!V15,(Datos!L15+Datos!AF15-(Datos!V15+Datos!AN15))/(Datos!V15+Datos!AN15))
     ),IF(D_I="SI",(Datos!L15-Datos!V15)/Datos!V15,(Datos!L15+Datos!AF15-(Datos!V15+Datos!AN15))/(Datos!V15+Datos!AN15))," - ")</f>
        <v>9.3119503362648737E-2</v>
      </c>
      <c r="H15" s="229">
        <f>IF(ISNUMBER((Datos!M15-Datos!W15)/Datos!W15),(Datos!M15-Datos!W15)/Datos!W15," - ")</f>
        <v>-0.16</v>
      </c>
      <c r="I15" s="349">
        <f>IF(ISNUMBER((Tasas!C15-Datos!BE15)/Datos!BE15),(Tasas!C15-Datos!BE15)/Datos!BE15," - ")</f>
        <v>0.1278875295857386</v>
      </c>
      <c r="J15" s="348">
        <f>IF(ISNUMBER((Tasas!D15-Datos!BF15)/Datos!BF15),(Tasas!D15-Datos!BF15)/Datos!BF15," - ")</f>
        <v>-0.13328275459585642</v>
      </c>
      <c r="K15" s="350">
        <f>IF(ISNUMBER((Tasas!E15-Datos!BG15)/Datos!BG15),(Tasas!E15-Datos!BG15)/Datos!BG15," - ")</f>
        <v>4.6851038422756792E-2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-0.94736842105263153</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-0.66666666666666663</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9.0206185567010308E-2</v>
      </c>
      <c r="E19" s="353">
        <f>IF(ISNUMBER(
   IF(D_I="SI",(Datos!J19-Datos!T19)/Datos!T19,(Datos!J19+Datos!AD19-(Datos!T19+Datos!AL19))/(Datos!T19+Datos!AL19))
     ),IF(D_I="SI",(Datos!J19-Datos!T19)/Datos!T19,(Datos!J19+Datos!AD19-(Datos!T19+Datos!AL19))/(Datos!T19+Datos!AL19))," - ")</f>
        <v>-3.2791559737667522E-2</v>
      </c>
      <c r="F19" s="353">
        <f>IF(ISNUMBER(
   IF(D_I="SI",(Datos!K19-Datos!U19)/Datos!U19,(Datos!K19+Datos!AE19-(Datos!U19+Datos!AM19))/(Datos!U19+Datos!AM19))
     ),IF(D_I="SI",(Datos!K19-Datos!U19)/Datos!U19,(Datos!K19+Datos!AE19-(Datos!U19+Datos!AM19))/(Datos!U19+Datos!AM19))," - ")</f>
        <v>-3.5191441441441443E-2</v>
      </c>
      <c r="G19" s="354">
        <f>IF(ISNUMBER(
   IF(D_I="SI",(Datos!L19-Datos!V19)/Datos!V19,(Datos!L19+Datos!AF19-(Datos!V19+Datos!AN19))/(Datos!V19+Datos!AN19))
     ),IF(D_I="SI",(Datos!L19-Datos!V19)/Datos!V19,(Datos!L19+Datos!AF19-(Datos!V19+Datos!AN19))/(Datos!V19+Datos!AN19))," - ")</f>
        <v>9.1516709511568123E-2</v>
      </c>
      <c r="H19" s="355">
        <f>IF(ISNUMBER((Datos!M19-Datos!W19)/Datos!W19),(Datos!M19-Datos!W19)/Datos!W19," - ")</f>
        <v>-0.16</v>
      </c>
      <c r="I19" s="356">
        <f>IF(ISNUMBER((Tasas!C19-Datos!BE19)/Datos!BE19),(Tasas!C19-Datos!BE19)/Datos!BE19," - ")</f>
        <v>0.13132983722938138</v>
      </c>
      <c r="J19" s="354">
        <f>IF(ISNUMBER((Tasas!D19-Datos!BF19)/Datos!BF19),(Tasas!D19-Datos!BF19)/Datos!BF19," - ")</f>
        <v>-0.12936095710533993</v>
      </c>
      <c r="K19" s="357">
        <f>IF(ISNUMBER((Tasas!E19-Datos!BG19)/Datos!BG19),(Tasas!E19-Datos!BG19)/Datos!BG19," - ")</f>
        <v>4.7892070169882207E-2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4.1789396170839467E-2</v>
      </c>
      <c r="E20" s="362">
        <f>IF(ISNUMBER(
   IF(J_V="SI",(Datos!J20-Datos!T20)/Datos!T20,(Datos!J20+Datos!Z20-(Datos!T20+Datos!AH20))/(Datos!T20+Datos!AH20))
     ),IF(J_V="SI",(Datos!J20-Datos!T20)/Datos!T20,(Datos!J20+Datos!Z20-(Datos!T20+Datos!AH20))/(Datos!T20+Datos!AH20))," - ")</f>
        <v>-0.32455883786682266</v>
      </c>
      <c r="F20" s="362">
        <f>IF(ISNUMBER(
   IF(J_V="SI",(Datos!K20-Datos!U20)/Datos!U20,(Datos!K20+Datos!AA20-(Datos!U20+Datos!AI20))/(Datos!U20+Datos!AI20))
     ),IF(J_V="SI",(Datos!K20-Datos!U20)/Datos!U20,(Datos!K20+Datos!AA20-(Datos!U20+Datos!AI20))/(Datos!U20+Datos!AI20))," - ")</f>
        <v>-0.15225726654298083</v>
      </c>
      <c r="G20" s="363">
        <f>IF(ISNUMBER(
   IF(J_V="SI",(Datos!L20-Datos!V20)/Datos!V20,(Datos!L20+Datos!AB20-(Datos!V20+Datos!AJ20))/(Datos!V20+Datos!AJ20))
     ),IF(J_V="SI",(Datos!L20-Datos!V20)/Datos!V20,(Datos!L20+Datos!AB20-(Datos!V20+Datos!AJ20))/(Datos!V20+Datos!AJ20))," - ")</f>
        <v>-0.1294513220235366</v>
      </c>
      <c r="H20" s="364">
        <f>IF(ISNUMBER((Datos!M20-Datos!W20)/Datos!W20),(Datos!M20-Datos!W20)/Datos!W20," - ")</f>
        <v>-6.313364055299539E-2</v>
      </c>
      <c r="I20" s="361">
        <f>IF(ISNUMBER((Tasas!C20-Datos!BE20)/Datos!BE20),(Tasas!C20-Datos!BE20)/Datos!BE20," - ")</f>
        <v>2.6901964026802793E-2</v>
      </c>
      <c r="J20" s="362">
        <f>IF(ISNUMBER((Tasas!D20-Datos!BF20)/Datos!BF20),(Tasas!D20-Datos!BF20)/Datos!BF20," - ")</f>
        <v>2.5281405252881455E-2</v>
      </c>
      <c r="K20" s="363">
        <f>IF(ISNUMBER((Tasas!E20-Datos!BG20)/Datos!BG20),(Tasas!E20-Datos!BG20)/Datos!BG20," - ")</f>
        <v>1.9035041013907593E-2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0.50868269368880892</v>
      </c>
      <c r="E22" s="277">
        <f t="shared" si="1"/>
        <v>0.55841805334793571</v>
      </c>
      <c r="F22" s="277">
        <f t="shared" si="1"/>
        <v>0.5582955802931352</v>
      </c>
      <c r="G22" s="278">
        <f t="shared" si="1"/>
        <v>0.43953685214681393</v>
      </c>
      <c r="H22" s="284">
        <f t="shared" si="1"/>
        <v>0.14608261403789874</v>
      </c>
      <c r="I22" s="276">
        <f t="shared" si="1"/>
        <v>0.26129553202089367</v>
      </c>
      <c r="J22" s="277">
        <f t="shared" si="1"/>
        <v>0.15573149967076336</v>
      </c>
      <c r="K22" s="278">
        <f t="shared" si="1"/>
        <v>0.17252877327129199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UFU06P6pZ11LSLzVobZxm2uI83mTkkNnxBo40pqL8tbx8gUuA/TO8eScXFPwKqJ+XJXRZUxYqrTvSMnn8baXg==" saltValue="RY4lbcyLWc42opHSIhGwd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